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defaultThemeVersion="166925"/>
  <mc:AlternateContent xmlns:mc="http://schemas.openxmlformats.org/markup-compatibility/2006">
    <mc:Choice Requires="x15">
      <x15ac:absPath xmlns:x15ac="http://schemas.microsoft.com/office/spreadsheetml/2010/11/ac" url="O:\PROJ-15\WRM\15-309 LCBP Jewett Brook Tile Drain Study\Project Reports\Final\DCB calc tables\"/>
    </mc:Choice>
  </mc:AlternateContent>
  <xr:revisionPtr revIDLastSave="0" documentId="13_ncr:1_{E6739ADA-0FA1-43AE-B7C5-76742B262069}" xr6:coauthVersionLast="43" xr6:coauthVersionMax="43" xr10:uidLastSave="{00000000-0000-0000-0000-000000000000}"/>
  <bookViews>
    <workbookView xWindow="-108" yWindow="-108" windowWidth="23256" windowHeight="12576" activeTab="2" xr2:uid="{B59D5210-DD70-4963-9045-C771334FA979}"/>
  </bookViews>
  <sheets>
    <sheet name="Land use_Wardrop V2" sheetId="4" r:id="rId1"/>
    <sheet name="Land use" sheetId="2" r:id="rId2"/>
    <sheet name="P extrapolations" sheetId="1" r:id="rId3"/>
    <sheet name="LU associations"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3" i="1" l="1"/>
  <c r="D33" i="1"/>
  <c r="F57" i="1" l="1"/>
  <c r="F56" i="1"/>
  <c r="E56" i="1"/>
  <c r="E57" i="1"/>
  <c r="C57" i="1"/>
  <c r="C56" i="1"/>
  <c r="L71" i="1"/>
  <c r="L70" i="1"/>
  <c r="L69" i="1"/>
  <c r="L63" i="1"/>
  <c r="L62" i="1"/>
  <c r="M62" i="1" s="1"/>
  <c r="L61" i="1"/>
  <c r="L67" i="1"/>
  <c r="L66" i="1"/>
  <c r="L65" i="1"/>
  <c r="L59" i="1"/>
  <c r="L58" i="1"/>
  <c r="L57" i="1"/>
  <c r="M71" i="1"/>
  <c r="M70" i="1"/>
  <c r="M69" i="1"/>
  <c r="M67" i="1"/>
  <c r="N67" i="1" s="1"/>
  <c r="M66" i="1"/>
  <c r="N66" i="1" s="1"/>
  <c r="M65" i="1"/>
  <c r="M63" i="1"/>
  <c r="M61" i="1"/>
  <c r="M59" i="1"/>
  <c r="M58" i="1"/>
  <c r="M57" i="1"/>
  <c r="N57" i="1" s="1"/>
  <c r="E50" i="1"/>
  <c r="E49" i="1"/>
  <c r="E38" i="1"/>
  <c r="E37" i="1"/>
  <c r="C50" i="1"/>
  <c r="C49" i="1"/>
  <c r="C38" i="1"/>
  <c r="C37" i="1"/>
  <c r="E51" i="1"/>
  <c r="E11" i="1"/>
  <c r="F11" i="1"/>
  <c r="C11" i="1"/>
  <c r="D3" i="1"/>
  <c r="G3" i="1" s="1"/>
  <c r="N65" i="1" l="1"/>
  <c r="N59" i="1"/>
  <c r="N58" i="1"/>
  <c r="C51" i="1"/>
  <c r="G43" i="1"/>
  <c r="F44" i="1"/>
  <c r="H43" i="1"/>
  <c r="F43" i="1"/>
  <c r="H44" i="1"/>
  <c r="G44" i="1"/>
  <c r="D10" i="1"/>
  <c r="D8" i="1"/>
  <c r="D9" i="1"/>
  <c r="D7" i="1"/>
  <c r="D5" i="1"/>
  <c r="D6" i="1"/>
  <c r="D4" i="1"/>
  <c r="D11" i="1" s="1"/>
  <c r="L36" i="1" l="1"/>
  <c r="L27" i="1"/>
  <c r="L35" i="1"/>
  <c r="L26" i="1"/>
  <c r="L34" i="1"/>
  <c r="L28" i="1"/>
  <c r="L38" i="1"/>
  <c r="L32" i="1"/>
  <c r="L40" i="1"/>
  <c r="L31" i="1"/>
  <c r="L39" i="1"/>
  <c r="L30" i="1"/>
  <c r="G21" i="1"/>
  <c r="C24" i="1"/>
  <c r="C23" i="1"/>
  <c r="F21" i="1"/>
  <c r="F22" i="1"/>
  <c r="G22" i="1"/>
  <c r="C72" i="4"/>
  <c r="C62" i="4"/>
  <c r="C63" i="4"/>
  <c r="C64" i="4"/>
  <c r="C65" i="4"/>
  <c r="C66" i="4"/>
  <c r="C67" i="4"/>
  <c r="C71" i="4"/>
  <c r="C73" i="4"/>
  <c r="C74" i="4"/>
  <c r="C75" i="4"/>
  <c r="C76" i="4"/>
  <c r="C77" i="4"/>
  <c r="C80" i="4"/>
  <c r="C81" i="4"/>
  <c r="C82" i="4"/>
  <c r="C83" i="4"/>
  <c r="C84" i="4"/>
  <c r="C85" i="4"/>
  <c r="C86" i="4"/>
  <c r="C61" i="4"/>
  <c r="C50" i="4" l="1"/>
  <c r="C51" i="4"/>
  <c r="C55" i="4"/>
  <c r="C56" i="4"/>
  <c r="C46" i="4"/>
  <c r="C45" i="4"/>
  <c r="B57" i="4"/>
  <c r="C57" i="4" s="1"/>
  <c r="B52" i="4"/>
  <c r="C52" i="4" s="1"/>
  <c r="B47" i="4"/>
  <c r="C47" i="4" s="1"/>
  <c r="B37" i="4" l="1"/>
  <c r="C36" i="4" s="1"/>
  <c r="D36" i="4" s="1"/>
  <c r="E36" i="4" s="1"/>
  <c r="C35" i="4"/>
  <c r="D35" i="4" s="1"/>
  <c r="E35" i="4" s="1"/>
  <c r="F31" i="4"/>
  <c r="F27" i="4"/>
  <c r="K23" i="4"/>
  <c r="J23" i="4"/>
  <c r="I23" i="4"/>
  <c r="C23" i="4"/>
  <c r="H23" i="4" s="1"/>
  <c r="D17" i="4"/>
  <c r="C17" i="4"/>
  <c r="J12" i="4"/>
  <c r="N12" i="4" s="1"/>
  <c r="G12" i="4"/>
  <c r="K12" i="4" s="1"/>
  <c r="F12" i="4"/>
  <c r="H12" i="4" s="1"/>
  <c r="L12" i="4" s="1"/>
  <c r="B12" i="4"/>
  <c r="C12" i="4" s="1"/>
  <c r="D12" i="4" s="1"/>
  <c r="K11" i="4"/>
  <c r="J11" i="4"/>
  <c r="H11" i="4"/>
  <c r="L11" i="4" s="1"/>
  <c r="N11" i="4" s="1"/>
  <c r="C11" i="4"/>
  <c r="D11" i="4" s="1"/>
  <c r="K10" i="4"/>
  <c r="J10" i="4"/>
  <c r="H10" i="4"/>
  <c r="L10" i="4" s="1"/>
  <c r="C10" i="4"/>
  <c r="D10" i="4" s="1"/>
  <c r="H2" i="3"/>
  <c r="N2" i="3"/>
  <c r="O2" i="3"/>
  <c r="P2" i="3"/>
  <c r="R2" i="3"/>
  <c r="S2" i="3"/>
  <c r="T2" i="3"/>
  <c r="H3" i="3"/>
  <c r="N3" i="3"/>
  <c r="O3" i="3"/>
  <c r="P3" i="3"/>
  <c r="R3" i="3"/>
  <c r="S3" i="3"/>
  <c r="T3" i="3" s="1"/>
  <c r="H4" i="3"/>
  <c r="N4" i="3"/>
  <c r="O4" i="3"/>
  <c r="P4" i="3"/>
  <c r="R4" i="3"/>
  <c r="S4" i="3"/>
  <c r="T4" i="3" s="1"/>
  <c r="H5" i="3"/>
  <c r="N5" i="3"/>
  <c r="O5" i="3"/>
  <c r="P5" i="3"/>
  <c r="R5" i="3"/>
  <c r="S5" i="3"/>
  <c r="T5" i="3"/>
  <c r="H6" i="3"/>
  <c r="N6" i="3"/>
  <c r="O6" i="3"/>
  <c r="P6" i="3"/>
  <c r="R6" i="3"/>
  <c r="S6" i="3"/>
  <c r="T6" i="3"/>
  <c r="H7" i="3"/>
  <c r="N7" i="3"/>
  <c r="O7" i="3"/>
  <c r="P7" i="3"/>
  <c r="R7" i="3"/>
  <c r="T7" i="3" s="1"/>
  <c r="S7" i="3"/>
  <c r="H8" i="3"/>
  <c r="N8" i="3"/>
  <c r="O8" i="3"/>
  <c r="P8" i="3"/>
  <c r="R8" i="3"/>
  <c r="S8" i="3"/>
  <c r="T8" i="3" s="1"/>
  <c r="H9" i="3"/>
  <c r="N9" i="3"/>
  <c r="O9" i="3"/>
  <c r="P9" i="3"/>
  <c r="R9" i="3"/>
  <c r="S9" i="3"/>
  <c r="T9" i="3"/>
  <c r="H10" i="3"/>
  <c r="N10" i="3"/>
  <c r="O10" i="3"/>
  <c r="P10" i="3"/>
  <c r="R10" i="3"/>
  <c r="S10" i="3"/>
  <c r="T10" i="3"/>
  <c r="H11" i="3"/>
  <c r="N11" i="3"/>
  <c r="O11" i="3"/>
  <c r="P11" i="3"/>
  <c r="R11" i="3"/>
  <c r="S11" i="3"/>
  <c r="T11" i="3" s="1"/>
  <c r="H12" i="3"/>
  <c r="N12" i="3"/>
  <c r="O12" i="3"/>
  <c r="P12" i="3"/>
  <c r="R12" i="3"/>
  <c r="S12" i="3"/>
  <c r="T12" i="3" s="1"/>
  <c r="H13" i="3"/>
  <c r="N13" i="3"/>
  <c r="O13" i="3"/>
  <c r="P13" i="3"/>
  <c r="R13" i="3"/>
  <c r="S13" i="3"/>
  <c r="T13" i="3"/>
  <c r="G15" i="3"/>
  <c r="I15" i="3"/>
  <c r="J15" i="3"/>
  <c r="K15" i="3"/>
  <c r="L15" i="3"/>
  <c r="M15" i="3"/>
  <c r="N15" i="3"/>
  <c r="O15" i="3"/>
  <c r="P15" i="3"/>
  <c r="R15" i="3"/>
  <c r="S15" i="3"/>
  <c r="G16" i="3"/>
  <c r="I16" i="3"/>
  <c r="J16" i="3"/>
  <c r="K16" i="3"/>
  <c r="L16" i="3"/>
  <c r="M16" i="3"/>
  <c r="N16" i="3"/>
  <c r="O16" i="3"/>
  <c r="P16" i="3"/>
  <c r="R16" i="3"/>
  <c r="S16" i="3"/>
  <c r="G17" i="3"/>
  <c r="G18" i="3" s="1"/>
  <c r="I17" i="3"/>
  <c r="J17" i="3"/>
  <c r="K17" i="3"/>
  <c r="L17" i="3"/>
  <c r="M17" i="3"/>
  <c r="N17" i="3"/>
  <c r="O17" i="3"/>
  <c r="P17" i="3"/>
  <c r="R17" i="3"/>
  <c r="S17" i="3"/>
  <c r="I18" i="3"/>
  <c r="J18" i="3"/>
  <c r="J19" i="3" s="1"/>
  <c r="K18" i="3"/>
  <c r="L18" i="3"/>
  <c r="L19" i="3" s="1"/>
  <c r="M18" i="3"/>
  <c r="N18" i="3"/>
  <c r="N19" i="3" s="1"/>
  <c r="O18" i="3"/>
  <c r="P18" i="3"/>
  <c r="P19" i="3" s="1"/>
  <c r="I19" i="3"/>
  <c r="K19" i="3"/>
  <c r="M19" i="3"/>
  <c r="O19" i="3"/>
  <c r="I20" i="3"/>
  <c r="K20" i="3"/>
  <c r="M20" i="3"/>
  <c r="N20" i="3"/>
  <c r="O20" i="3"/>
  <c r="P20" i="3"/>
  <c r="N10" i="4" l="1"/>
  <c r="O10" i="4"/>
  <c r="O11" i="4"/>
  <c r="C19" i="4"/>
  <c r="D19" i="4"/>
  <c r="O12" i="4"/>
  <c r="F23" i="4"/>
  <c r="G20" i="3"/>
  <c r="G19" i="3"/>
  <c r="T15" i="3"/>
  <c r="T16" i="3"/>
  <c r="T17" i="3"/>
  <c r="L20" i="3"/>
  <c r="J20" i="3"/>
  <c r="C10" i="2"/>
  <c r="D10" i="2" s="1"/>
  <c r="H10" i="2"/>
  <c r="J10" i="2"/>
  <c r="N10" i="2" s="1"/>
  <c r="K10" i="2"/>
  <c r="L10" i="2"/>
  <c r="C11" i="2"/>
  <c r="D11" i="2" s="1"/>
  <c r="H11" i="2"/>
  <c r="J11" i="2"/>
  <c r="N11" i="2" s="1"/>
  <c r="K11" i="2"/>
  <c r="L11" i="2"/>
  <c r="B12" i="2"/>
  <c r="C12" i="2" s="1"/>
  <c r="D12" i="2" s="1"/>
  <c r="F12" i="2"/>
  <c r="H12" i="2" s="1"/>
  <c r="L12" i="2" s="1"/>
  <c r="G12" i="2"/>
  <c r="K12" i="2" s="1"/>
  <c r="C17" i="2"/>
  <c r="D17" i="2"/>
  <c r="C23" i="2"/>
  <c r="H23" i="2" s="1"/>
  <c r="F23" i="2"/>
  <c r="I23" i="2"/>
  <c r="J23" i="2"/>
  <c r="K23" i="2"/>
  <c r="F27" i="2"/>
  <c r="F31" i="2"/>
  <c r="C35" i="2"/>
  <c r="D35" i="2"/>
  <c r="E35" i="2" s="1"/>
  <c r="B37" i="2"/>
  <c r="C36" i="2" s="1"/>
  <c r="D36" i="2" s="1"/>
  <c r="E36" i="2" s="1"/>
  <c r="C18" i="4" l="1"/>
  <c r="D18" i="4"/>
  <c r="C19" i="2"/>
  <c r="D19" i="2"/>
  <c r="O11" i="2"/>
  <c r="O10" i="2"/>
  <c r="J12" i="2"/>
  <c r="N12" i="2" l="1"/>
  <c r="O12" i="2"/>
  <c r="C18" i="2"/>
  <c r="D18" i="2"/>
  <c r="M27" i="1" l="1"/>
  <c r="M35" i="1"/>
  <c r="M28" i="1"/>
  <c r="M26" i="1"/>
  <c r="M34" i="1"/>
  <c r="M36" i="1"/>
  <c r="M40" i="1" l="1"/>
  <c r="N36" i="1" s="1"/>
  <c r="F63" i="1" s="1"/>
  <c r="M32" i="1"/>
  <c r="N28" i="1" s="1"/>
  <c r="F62" i="1" s="1"/>
  <c r="M39" i="1"/>
  <c r="N35" i="1" s="1"/>
  <c r="E63" i="1" s="1"/>
  <c r="M38" i="1"/>
  <c r="N34" i="1" s="1"/>
  <c r="M31" i="1"/>
  <c r="N27" i="1" s="1"/>
  <c r="E62" i="1" s="1"/>
  <c r="M30" i="1"/>
  <c r="N26" i="1" s="1"/>
  <c r="E39" i="1"/>
  <c r="C63" i="1" s="1"/>
  <c r="C39" i="1"/>
  <c r="C62" i="1" s="1"/>
  <c r="P38" i="1" l="1"/>
  <c r="Q31" i="1"/>
  <c r="P30" i="1"/>
  <c r="Q3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Don Meals</author>
  </authors>
  <commentList>
    <comment ref="I1" authorId="0" shapeId="0" xr:uid="{00000000-0006-0000-0000-000001000000}">
      <text>
        <r>
          <rPr>
            <b/>
            <sz val="9"/>
            <color indexed="81"/>
            <rFont val="Tahoma"/>
            <charset val="1"/>
          </rPr>
          <t>Don Meals:</t>
        </r>
        <r>
          <rPr>
            <sz val="9"/>
            <color indexed="81"/>
            <rFont val="Tahoma"/>
            <charset val="1"/>
          </rPr>
          <t xml:space="preserve">
anti-log of logmean</t>
        </r>
      </text>
    </comment>
    <comment ref="J1" authorId="0" shapeId="0" xr:uid="{00000000-0006-0000-0000-000002000000}">
      <text>
        <r>
          <rPr>
            <b/>
            <sz val="9"/>
            <color indexed="81"/>
            <rFont val="Tahoma"/>
            <charset val="1"/>
          </rPr>
          <t>Don Meals:</t>
        </r>
        <r>
          <rPr>
            <sz val="9"/>
            <color indexed="81"/>
            <rFont val="Tahoma"/>
            <charset val="1"/>
          </rPr>
          <t xml:space="preserve">
anti-log of logmean</t>
        </r>
      </text>
    </comment>
    <comment ref="K1" authorId="0" shapeId="0" xr:uid="{00000000-0006-0000-0000-000003000000}">
      <text>
        <r>
          <rPr>
            <b/>
            <sz val="9"/>
            <color indexed="81"/>
            <rFont val="Tahoma"/>
            <charset val="1"/>
          </rPr>
          <t>Don Meals:</t>
        </r>
        <r>
          <rPr>
            <sz val="9"/>
            <color indexed="81"/>
            <rFont val="Tahoma"/>
            <charset val="1"/>
          </rPr>
          <t xml:space="preserve">
m3</t>
        </r>
      </text>
    </comment>
    <comment ref="R1" authorId="0" shapeId="0" xr:uid="{6C4CC869-2B0A-498F-AE88-25FD4548EDF2}">
      <text>
        <r>
          <rPr>
            <b/>
            <sz val="9"/>
            <color indexed="81"/>
            <rFont val="Tahoma"/>
            <charset val="1"/>
          </rPr>
          <t>Don Meals:</t>
        </r>
        <r>
          <rPr>
            <sz val="9"/>
            <color indexed="81"/>
            <rFont val="Tahoma"/>
            <charset val="1"/>
          </rPr>
          <t xml:space="preserve">
anti-log of logmean</t>
        </r>
      </text>
    </comment>
    <comment ref="S1" authorId="0" shapeId="0" xr:uid="{2E39F5CF-B856-4EDB-BDE7-3D9B10033F4D}">
      <text>
        <r>
          <rPr>
            <b/>
            <sz val="9"/>
            <color indexed="81"/>
            <rFont val="Tahoma"/>
            <charset val="1"/>
          </rPr>
          <t>Don Meals:</t>
        </r>
        <r>
          <rPr>
            <sz val="9"/>
            <color indexed="81"/>
            <rFont val="Tahoma"/>
            <charset val="1"/>
          </rPr>
          <t xml:space="preserve">
anti-log of logmean</t>
        </r>
      </text>
    </comment>
  </commentList>
</comments>
</file>

<file path=xl/sharedStrings.xml><?xml version="1.0" encoding="utf-8"?>
<sst xmlns="http://schemas.openxmlformats.org/spreadsheetml/2006/main" count="480" uniqueCount="186">
  <si>
    <t>Row Crop</t>
  </si>
  <si>
    <t>Hay</t>
  </si>
  <si>
    <t>Areal TP load</t>
  </si>
  <si>
    <t>(kg/ha/yr)</t>
  </si>
  <si>
    <t>Areal TDP load</t>
  </si>
  <si>
    <t>Median</t>
  </si>
  <si>
    <t>95% C.I.</t>
  </si>
  <si>
    <t>0.441 – 0.857</t>
  </si>
  <si>
    <t>0.191 – 0.445</t>
  </si>
  <si>
    <t>0.138 – 0.686</t>
  </si>
  <si>
    <t>0.042 – 0.306</t>
  </si>
  <si>
    <t>TP (kg/yr)</t>
  </si>
  <si>
    <t>TDP (kg/yr)</t>
  </si>
  <si>
    <t xml:space="preserve">95% C.I. </t>
  </si>
  <si>
    <t>Row crop</t>
  </si>
  <si>
    <t>TOTAL</t>
  </si>
  <si>
    <t>TP</t>
  </si>
  <si>
    <t>TDP</t>
  </si>
  <si>
    <t>Tile load % of total</t>
  </si>
  <si>
    <t>Range</t>
  </si>
  <si>
    <t>ha</t>
  </si>
  <si>
    <t>kg/yr</t>
  </si>
  <si>
    <t>Jewett Brook load</t>
  </si>
  <si>
    <t>High CL (kg/yr)</t>
  </si>
  <si>
    <t>Low CL (kg/yr)</t>
  </si>
  <si>
    <t>Eric's P (kg/yr)</t>
  </si>
  <si>
    <t>acre</t>
  </si>
  <si>
    <t>Correct field area (acres)</t>
  </si>
  <si>
    <t>Correct field area (ha)</t>
  </si>
  <si>
    <t>Total field area</t>
  </si>
  <si>
    <t>assumes 50/50 rotation</t>
  </si>
  <si>
    <t>RC</t>
  </si>
  <si>
    <t>kg/ha/yr</t>
  </si>
  <si>
    <t>median</t>
  </si>
  <si>
    <t>Low CL</t>
  </si>
  <si>
    <t>Hiigh CL</t>
  </si>
  <si>
    <t>Corn</t>
  </si>
  <si>
    <t>Fraction</t>
  </si>
  <si>
    <t>crop type from last tab (upper + lower, both clipped)</t>
  </si>
  <si>
    <t>tiled/ag total</t>
  </si>
  <si>
    <t xml:space="preserve"> field acres total</t>
  </si>
  <si>
    <t>field acres not tiled</t>
  </si>
  <si>
    <t xml:space="preserve"> acres tiled</t>
  </si>
  <si>
    <t>Random</t>
  </si>
  <si>
    <t>Pattern</t>
  </si>
  <si>
    <t>Below Lower Newton Rd</t>
  </si>
  <si>
    <t>Above Lower Newton Rd</t>
  </si>
  <si>
    <t>% "random"/WS area</t>
  </si>
  <si>
    <t>% pattern/WS area</t>
  </si>
  <si>
    <t>% ag land/WS area</t>
  </si>
  <si>
    <t>% tiled/WS area</t>
  </si>
  <si>
    <t>all tiled</t>
  </si>
  <si>
    <t>Whole Jewet Brook Watershed</t>
  </si>
  <si>
    <t>Used are Travis calculated below to calculate area above LN by difference</t>
  </si>
  <si>
    <t>Below LN</t>
  </si>
  <si>
    <t>Above LN</t>
  </si>
  <si>
    <t>Whole</t>
  </si>
  <si>
    <t>mi2</t>
  </si>
  <si>
    <t>Watershed (acres)</t>
  </si>
  <si>
    <t>3) From David Wardrop, VAAFM Americorps. Using Maria's adjusted watershed boundary, clipped fields only, accounting for 32 acres of fields missing in earleir analysis</t>
  </si>
  <si>
    <t>Total</t>
  </si>
  <si>
    <t>Below Lower Newton Rd.</t>
  </si>
  <si>
    <t>Above Lower Newton Rd.</t>
  </si>
  <si>
    <t>%</t>
  </si>
  <si>
    <t>sq. m</t>
  </si>
  <si>
    <t>% watershed tiled</t>
  </si>
  <si>
    <t>% of field area tiled</t>
  </si>
  <si>
    <t>Ag fields</t>
  </si>
  <si>
    <t>Tile absent</t>
  </si>
  <si>
    <t>Tile present</t>
  </si>
  <si>
    <t>Watershed area calculated by Stone</t>
  </si>
  <si>
    <t>Using clipped watershed boundary stats only</t>
  </si>
  <si>
    <t>2) From Thomas Bryce's analysis, VAAFM Americorps. Uses Maria's adjusted watershed boundary but missing 32 field acres. These statistics only include the geographic extents of the 10 farms Maria inventoried. This does not include the watershed wide photo interpretation and farmer checks regarding tile drainage</t>
  </si>
  <si>
    <t>“Percentage of known tiled fields within watershed”: 52.67%</t>
  </si>
  <si>
    <t>“Percentage of known tiled fields on ag lands”: 71.65%</t>
  </si>
  <si>
    <t>“% of agricultural land in the watershed”: 73.5%</t>
  </si>
  <si>
    <t>1) Old values from Maria's powerpoint</t>
  </si>
  <si>
    <t>DCB ADDED THESE BACKED OUT AVERAGES</t>
  </si>
  <si>
    <t>St dev</t>
  </si>
  <si>
    <t>Mean</t>
  </si>
  <si>
    <t>Lo</t>
  </si>
  <si>
    <t>N</t>
  </si>
  <si>
    <t>H</t>
  </si>
  <si>
    <t>JBT19</t>
  </si>
  <si>
    <t>Cl</t>
  </si>
  <si>
    <t>JBT18</t>
  </si>
  <si>
    <t>Y</t>
  </si>
  <si>
    <t>C</t>
  </si>
  <si>
    <t>JBT16</t>
  </si>
  <si>
    <t>JBT14</t>
  </si>
  <si>
    <t>JBT13</t>
  </si>
  <si>
    <t>ALF</t>
  </si>
  <si>
    <t>JBT11</t>
  </si>
  <si>
    <t>JBT07</t>
  </si>
  <si>
    <t>JBT06</t>
  </si>
  <si>
    <t>JBT05</t>
  </si>
  <si>
    <t>JBT04</t>
  </si>
  <si>
    <t>SB</t>
  </si>
  <si>
    <t>JBT02</t>
  </si>
  <si>
    <t>JBT01</t>
  </si>
  <si>
    <t>%TDP</t>
  </si>
  <si>
    <t>Backed out Mean [TDP]</t>
  </si>
  <si>
    <t>Backed out Mean [TP]</t>
  </si>
  <si>
    <t>TDPx kg/ha</t>
  </si>
  <si>
    <t>TPx kg/ha</t>
  </si>
  <si>
    <t>total TDPx</t>
  </si>
  <si>
    <t>total TPx</t>
  </si>
  <si>
    <t>total Q</t>
  </si>
  <si>
    <t>Mean [TDP]</t>
  </si>
  <si>
    <t>Mean [TP]</t>
  </si>
  <si>
    <t>Area (acre)</t>
  </si>
  <si>
    <t>Area (ha)</t>
  </si>
  <si>
    <t>Soil</t>
  </si>
  <si>
    <t>2017 CC</t>
  </si>
  <si>
    <t>2017 manure</t>
  </si>
  <si>
    <t>2017 crop</t>
  </si>
  <si>
    <t>Inlet</t>
  </si>
  <si>
    <t>Field</t>
  </si>
  <si>
    <t>4) From David Wardrop, VAAFM Americorps. Using Maria's adjusted watershed boundary, clipped fields only, accounting for 32 acres of fields missing in earleir analysis, with better corn / hay breakdown and misc. corrections</t>
  </si>
  <si>
    <r>
      <t>2018 Crop Inventory</t>
    </r>
    <r>
      <rPr>
        <sz val="11"/>
        <color theme="1"/>
        <rFont val="Calibri"/>
        <family val="2"/>
        <scheme val="minor"/>
      </rPr>
      <t> </t>
    </r>
  </si>
  <si>
    <r>
      <t>Whole Watershed</t>
    </r>
    <r>
      <rPr>
        <sz val="11"/>
        <color theme="1"/>
        <rFont val="Calibri"/>
        <family val="2"/>
        <scheme val="minor"/>
      </rPr>
      <t> </t>
    </r>
  </si>
  <si>
    <r>
      <t>Above Lower Newton Rd</t>
    </r>
    <r>
      <rPr>
        <sz val="11"/>
        <color theme="1"/>
        <rFont val="Calibri"/>
        <family val="2"/>
        <scheme val="minor"/>
      </rPr>
      <t> </t>
    </r>
  </si>
  <si>
    <r>
      <t>Below Lower Newton Rd</t>
    </r>
    <r>
      <rPr>
        <sz val="11"/>
        <color theme="1"/>
        <rFont val="Calibri"/>
        <family val="2"/>
        <scheme val="minor"/>
      </rPr>
      <t> </t>
    </r>
  </si>
  <si>
    <t>acres</t>
  </si>
  <si>
    <t>hectares</t>
  </si>
  <si>
    <t>Total crop</t>
  </si>
  <si>
    <t>Low</t>
  </si>
  <si>
    <t>High</t>
  </si>
  <si>
    <t>All fields</t>
  </si>
  <si>
    <t>Non-tile drain </t>
  </si>
  <si>
    <t>Tile drain </t>
  </si>
  <si>
    <t>Row crop tile drain </t>
  </si>
  <si>
    <t>Hay crop tile drain </t>
  </si>
  <si>
    <t>Row crop non-tile drain </t>
  </si>
  <si>
    <t>Hay crop non-tile drain </t>
  </si>
  <si>
    <t>Hay crop non-tile drain  </t>
  </si>
  <si>
    <t>Acres</t>
  </si>
  <si>
    <t>Hectares</t>
  </si>
  <si>
    <t>487 – 946</t>
  </si>
  <si>
    <t>211 - 491</t>
  </si>
  <si>
    <t>49 – 245</t>
  </si>
  <si>
    <t>15 - 109</t>
  </si>
  <si>
    <t>15 – 45%</t>
  </si>
  <si>
    <t>8.0 – 29%</t>
  </si>
  <si>
    <t>All agricultural fields</t>
  </si>
  <si>
    <t>METHOD 2</t>
  </si>
  <si>
    <t>METHOD 1</t>
  </si>
  <si>
    <t>0.122 – 1.124</t>
  </si>
  <si>
    <t>0.083 – 0.556</t>
  </si>
  <si>
    <t>0.368 – 0.743</t>
  </si>
  <si>
    <t>0.166 – 0.378</t>
  </si>
  <si>
    <t>Median load</t>
  </si>
  <si>
    <t>(kg/yr)</t>
  </si>
  <si>
    <t>538 - 1085</t>
  </si>
  <si>
    <t>242 - 552</t>
  </si>
  <si>
    <t>Jewett Brook watershed area</t>
  </si>
  <si>
    <t>Fields with tile drainage</t>
  </si>
  <si>
    <t>Fields without tile drainage</t>
  </si>
  <si>
    <t>Row crops with tile drainage</t>
  </si>
  <si>
    <t>Row crops without tile drainage</t>
  </si>
  <si>
    <t>Hay fields with tile drainage</t>
  </si>
  <si>
    <t>Hay fields without tile drainage</t>
  </si>
  <si>
    <r>
      <t>Whole Watershed</t>
    </r>
    <r>
      <rPr>
        <sz val="10"/>
        <color theme="1"/>
        <rFont val="Calibri"/>
        <family val="2"/>
        <scheme val="minor"/>
      </rPr>
      <t> </t>
    </r>
  </si>
  <si>
    <r>
      <t>Above LN Rd</t>
    </r>
    <r>
      <rPr>
        <sz val="10"/>
        <color theme="1"/>
        <rFont val="Calibri"/>
        <family val="2"/>
        <scheme val="minor"/>
      </rPr>
      <t> </t>
    </r>
  </si>
  <si>
    <r>
      <t>Below LN Rd</t>
    </r>
    <r>
      <rPr>
        <sz val="10"/>
        <color theme="1"/>
        <rFont val="Calibri"/>
        <family val="2"/>
        <scheme val="minor"/>
      </rPr>
      <t> </t>
    </r>
  </si>
  <si>
    <t>TP load (kg/yr)</t>
  </si>
  <si>
    <t>TDP load (kg/yr)</t>
  </si>
  <si>
    <t>Low C.I.</t>
  </si>
  <si>
    <t>High C.I.</t>
  </si>
  <si>
    <t>From David Wardrop</t>
  </si>
  <si>
    <t>536 – 1191</t>
  </si>
  <si>
    <t>226 – 600</t>
  </si>
  <si>
    <t>totals</t>
  </si>
  <si>
    <t>ratio</t>
  </si>
  <si>
    <t>Extrapolated *1.62</t>
  </si>
  <si>
    <t>Approach 2</t>
  </si>
  <si>
    <t>Approach 1 (ALL ABOVE LN Rd.)</t>
  </si>
  <si>
    <t>263 – 510</t>
  </si>
  <si>
    <t>34 – 169</t>
  </si>
  <si>
    <t>114 - 265</t>
  </si>
  <si>
    <t>15 - 75</t>
  </si>
  <si>
    <t>297 – 679</t>
  </si>
  <si>
    <t>124 – 340</t>
  </si>
  <si>
    <t>13 – 42%</t>
  </si>
  <si>
    <t>7.2 – 27%</t>
  </si>
  <si>
    <t>PP (median):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</si>
</sst>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0.000"/>
    <numFmt numFmtId="166" formatCode="_(* #,##0_);_(* \(#,##0\);_(* &quot;-&quot;??_);_(@_)"/>
  </numFmts>
  <fonts count="23" x14ac:knownFonts="1">
    <font>
      <sz val="11"/>
      <color theme="1"/>
      <name val="Calibri"/>
      <family val="2"/>
      <scheme val="minor"/>
    </font>
    <font>
      <sz val="10"/>
      <color theme="1"/>
      <name val="Calibri"/>
      <family val="2"/>
      <scheme val="minor"/>
    </font>
    <font>
      <b/>
      <sz val="10"/>
      <color rgb="FF3A0038"/>
      <name val="Arial"/>
      <family val="2"/>
    </font>
    <font>
      <sz val="10"/>
      <color rgb="FF3A0038"/>
      <name val="Arial"/>
      <family val="2"/>
    </font>
    <font>
      <sz val="18"/>
      <color rgb="FF3A0038"/>
      <name val="Arial"/>
    </font>
    <font>
      <sz val="11"/>
      <color theme="1"/>
      <name val="Calibri"/>
      <family val="2"/>
      <scheme val="minor"/>
    </font>
    <font>
      <b/>
      <sz val="10"/>
      <color theme="1"/>
      <name val="Calibri"/>
      <family val="2"/>
      <scheme val="minor"/>
    </font>
    <font>
      <sz val="11"/>
      <color rgb="FF000000"/>
      <name val="Calibri"/>
      <family val="2"/>
      <scheme val="minor"/>
    </font>
    <font>
      <b/>
      <sz val="12"/>
      <color theme="1"/>
      <name val="Calibri"/>
      <family val="2"/>
      <scheme val="minor"/>
    </font>
    <font>
      <b/>
      <sz val="11"/>
      <color theme="1"/>
      <name val="Calibri"/>
      <family val="2"/>
      <scheme val="minor"/>
    </font>
    <font>
      <sz val="12"/>
      <color rgb="FF000000"/>
      <name val="Calibri"/>
      <family val="2"/>
      <scheme val="minor"/>
    </font>
    <font>
      <u/>
      <sz val="11"/>
      <color rgb="FF000000"/>
      <name val="Calibri"/>
      <family val="2"/>
      <scheme val="minor"/>
    </font>
    <font>
      <i/>
      <sz val="11"/>
      <color theme="1"/>
      <name val="Calibri"/>
      <family val="2"/>
      <scheme val="minor"/>
    </font>
    <font>
      <b/>
      <sz val="9"/>
      <color indexed="81"/>
      <name val="Tahoma"/>
      <charset val="1"/>
    </font>
    <font>
      <sz val="9"/>
      <color indexed="81"/>
      <name val="Tahoma"/>
      <charset val="1"/>
    </font>
    <font>
      <u/>
      <sz val="11"/>
      <color theme="1"/>
      <name val="Calibri"/>
      <family val="2"/>
      <scheme val="minor"/>
    </font>
    <font>
      <u/>
      <sz val="12"/>
      <color theme="1"/>
      <name val="Calibri"/>
      <family val="2"/>
      <scheme val="minor"/>
    </font>
    <font>
      <sz val="9"/>
      <color theme="1"/>
      <name val="Segoe UI"/>
      <family val="2"/>
    </font>
    <font>
      <sz val="11"/>
      <name val="Calibri"/>
      <family val="2"/>
      <scheme val="minor"/>
    </font>
    <font>
      <b/>
      <sz val="10"/>
      <color rgb="FFFFFFFF"/>
      <name val="Humnst777 BT"/>
      <family val="2"/>
    </font>
    <font>
      <sz val="10"/>
      <color theme="1"/>
      <name val="Humnst777 Lt BT"/>
      <family val="2"/>
    </font>
    <font>
      <u/>
      <sz val="10"/>
      <color theme="1"/>
      <name val="Calibri"/>
      <family val="2"/>
      <scheme val="minor"/>
    </font>
    <font>
      <sz val="18"/>
      <color rgb="FF3A0038"/>
      <name val="Calibri"/>
      <family val="2"/>
      <scheme val="minor"/>
    </font>
  </fonts>
  <fills count="8">
    <fill>
      <patternFill patternType="none"/>
    </fill>
    <fill>
      <patternFill patternType="gray125"/>
    </fill>
    <fill>
      <patternFill patternType="solid">
        <fgColor rgb="FFBFBFBF"/>
        <bgColor indexed="64"/>
      </patternFill>
    </fill>
    <fill>
      <patternFill patternType="solid">
        <fgColor rgb="FFFFFF00"/>
        <bgColor indexed="64"/>
      </patternFill>
    </fill>
    <fill>
      <patternFill patternType="solid">
        <fgColor theme="0"/>
        <bgColor indexed="64"/>
      </patternFill>
    </fill>
    <fill>
      <patternFill patternType="solid">
        <fgColor rgb="FFFFC000"/>
        <bgColor indexed="64"/>
      </patternFill>
    </fill>
    <fill>
      <patternFill patternType="solid">
        <fgColor rgb="FFFFFFFF"/>
        <bgColor indexed="64"/>
      </patternFill>
    </fill>
    <fill>
      <patternFill patternType="solid">
        <fgColor rgb="FF8A5213"/>
        <bgColor indexed="64"/>
      </patternFill>
    </fill>
  </fills>
  <borders count="22">
    <border>
      <left/>
      <right/>
      <top/>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hair">
        <color auto="1"/>
      </left>
      <right style="hair">
        <color auto="1"/>
      </right>
      <top style="hair">
        <color auto="1"/>
      </top>
      <bottom style="hair">
        <color auto="1"/>
      </bottom>
      <diagonal/>
    </border>
    <border>
      <left/>
      <right/>
      <top/>
      <bottom style="thin">
        <color indexed="64"/>
      </bottom>
      <diagonal/>
    </border>
    <border>
      <left style="hair">
        <color auto="1"/>
      </left>
      <right/>
      <top style="hair">
        <color auto="1"/>
      </top>
      <bottom style="hair">
        <color auto="1"/>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hair">
        <color auto="1"/>
      </left>
      <right/>
      <top style="hair">
        <color auto="1"/>
      </top>
      <bottom/>
      <diagonal/>
    </border>
    <border>
      <left style="hair">
        <color auto="1"/>
      </left>
      <right/>
      <top/>
      <bottom style="hair">
        <color auto="1"/>
      </bottom>
      <diagonal/>
    </border>
    <border>
      <left/>
      <right/>
      <top/>
      <bottom style="hair">
        <color auto="1"/>
      </bottom>
      <diagonal/>
    </border>
  </borders>
  <cellStyleXfs count="2">
    <xf numFmtId="0" fontId="0" fillId="0" borderId="0"/>
    <xf numFmtId="43" fontId="5" fillId="0" borderId="0" applyFont="0" applyFill="0" applyBorder="0" applyAlignment="0" applyProtection="0"/>
  </cellStyleXfs>
  <cellXfs count="118">
    <xf numFmtId="0" fontId="0" fillId="0" borderId="0" xfId="0"/>
    <xf numFmtId="0" fontId="1" fillId="0" borderId="0" xfId="0" applyFont="1"/>
    <xf numFmtId="0" fontId="2" fillId="2" borderId="8" xfId="0" applyFont="1" applyFill="1" applyBorder="1" applyAlignment="1">
      <alignment horizontal="center" vertical="center" wrapText="1" readingOrder="1"/>
    </xf>
    <xf numFmtId="0" fontId="2" fillId="2" borderId="10" xfId="0" applyFont="1" applyFill="1" applyBorder="1" applyAlignment="1">
      <alignment horizontal="center" vertical="center" wrapText="1" readingOrder="1"/>
    </xf>
    <xf numFmtId="0" fontId="2" fillId="2" borderId="9" xfId="0" applyFont="1" applyFill="1" applyBorder="1" applyAlignment="1">
      <alignment horizontal="center" vertical="center" wrapText="1" readingOrder="1"/>
    </xf>
    <xf numFmtId="0" fontId="2" fillId="2" borderId="11" xfId="0" applyFont="1" applyFill="1" applyBorder="1" applyAlignment="1">
      <alignment horizontal="center" vertical="center" wrapText="1" readingOrder="1"/>
    </xf>
    <xf numFmtId="0" fontId="3" fillId="0" borderId="1" xfId="0" applyFont="1" applyBorder="1" applyAlignment="1">
      <alignment horizontal="left" vertical="center" wrapText="1" readingOrder="1"/>
    </xf>
    <xf numFmtId="0" fontId="3" fillId="0" borderId="5"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2" fillId="2" borderId="5" xfId="0" applyFont="1" applyFill="1" applyBorder="1" applyAlignment="1">
      <alignment horizontal="center" vertical="center" wrapText="1" readingOrder="1"/>
    </xf>
    <xf numFmtId="164" fontId="1" fillId="0" borderId="0" xfId="0" applyNumberFormat="1" applyFont="1"/>
    <xf numFmtId="1" fontId="1" fillId="0" borderId="0" xfId="0" applyNumberFormat="1" applyFont="1"/>
    <xf numFmtId="165" fontId="1" fillId="0" borderId="0" xfId="0" applyNumberFormat="1" applyFont="1"/>
    <xf numFmtId="0" fontId="1" fillId="4" borderId="0" xfId="0" applyFont="1" applyFill="1"/>
    <xf numFmtId="164" fontId="0" fillId="0" borderId="0" xfId="0" applyNumberFormat="1" applyFont="1"/>
    <xf numFmtId="0" fontId="1" fillId="0" borderId="12" xfId="0" applyFont="1" applyBorder="1"/>
    <xf numFmtId="0" fontId="4" fillId="0" borderId="12" xfId="0" applyFont="1" applyBorder="1" applyAlignment="1">
      <alignment horizontal="center" vertical="center" wrapText="1" readingOrder="1"/>
    </xf>
    <xf numFmtId="0" fontId="2" fillId="4" borderId="12" xfId="0" applyFont="1" applyFill="1" applyBorder="1" applyAlignment="1">
      <alignment horizontal="center" vertical="center" wrapText="1" readingOrder="1"/>
    </xf>
    <xf numFmtId="0" fontId="6" fillId="4" borderId="12" xfId="0" applyFont="1" applyFill="1" applyBorder="1" applyAlignment="1">
      <alignment horizontal="center"/>
    </xf>
    <xf numFmtId="0" fontId="3" fillId="0" borderId="12" xfId="0" applyFont="1" applyBorder="1" applyAlignment="1">
      <alignment horizontal="left" vertical="center" wrapText="1" readingOrder="1"/>
    </xf>
    <xf numFmtId="0" fontId="3" fillId="0" borderId="12" xfId="0" applyFont="1" applyBorder="1" applyAlignment="1">
      <alignment horizontal="center" vertical="center" wrapText="1" readingOrder="1"/>
    </xf>
    <xf numFmtId="0" fontId="2" fillId="2" borderId="12" xfId="0" applyFont="1" applyFill="1" applyBorder="1" applyAlignment="1">
      <alignment horizontal="center" vertical="center" wrapText="1" readingOrder="1"/>
    </xf>
    <xf numFmtId="9" fontId="3" fillId="3" borderId="12" xfId="0" applyNumberFormat="1" applyFont="1" applyFill="1" applyBorder="1" applyAlignment="1">
      <alignment horizontal="center" vertical="center" wrapText="1" readingOrder="1"/>
    </xf>
    <xf numFmtId="1" fontId="1" fillId="0" borderId="12" xfId="0" applyNumberFormat="1" applyFont="1" applyBorder="1"/>
    <xf numFmtId="164" fontId="1" fillId="0" borderId="12" xfId="0" applyNumberFormat="1" applyFont="1" applyBorder="1"/>
    <xf numFmtId="166" fontId="1" fillId="0" borderId="12" xfId="1" applyNumberFormat="1" applyFont="1" applyBorder="1"/>
    <xf numFmtId="0" fontId="0" fillId="0" borderId="0" xfId="0" applyFont="1" applyAlignment="1">
      <alignment horizontal="center"/>
    </xf>
    <xf numFmtId="2" fontId="7" fillId="0" borderId="0" xfId="0" applyNumberFormat="1" applyFont="1" applyAlignment="1">
      <alignment horizontal="right" vertical="center" indent="1"/>
    </xf>
    <xf numFmtId="0" fontId="0" fillId="0" borderId="0" xfId="0" applyFont="1"/>
    <xf numFmtId="2" fontId="0" fillId="0" borderId="0" xfId="0" applyNumberFormat="1" applyFont="1"/>
    <xf numFmtId="1" fontId="3" fillId="0" borderId="5" xfId="0" applyNumberFormat="1" applyFont="1" applyBorder="1" applyAlignment="1">
      <alignment horizontal="center" vertical="center" wrapText="1" readingOrder="1"/>
    </xf>
    <xf numFmtId="1" fontId="3" fillId="4" borderId="5" xfId="0" applyNumberFormat="1" applyFont="1" applyFill="1" applyBorder="1" applyAlignment="1">
      <alignment horizontal="center" vertical="center" wrapText="1" readingOrder="1"/>
    </xf>
    <xf numFmtId="0" fontId="8" fillId="0" borderId="12" xfId="0" applyFont="1" applyBorder="1"/>
    <xf numFmtId="2" fontId="0" fillId="0" borderId="0" xfId="0" applyNumberFormat="1"/>
    <xf numFmtId="164" fontId="0" fillId="0" borderId="0" xfId="0" applyNumberFormat="1"/>
    <xf numFmtId="165" fontId="0" fillId="0" borderId="0" xfId="0" applyNumberFormat="1"/>
    <xf numFmtId="0" fontId="10" fillId="0" borderId="0" xfId="0" applyFont="1"/>
    <xf numFmtId="0" fontId="11" fillId="0" borderId="0" xfId="0" applyFont="1" applyAlignment="1">
      <alignment horizontal="left" vertical="center"/>
    </xf>
    <xf numFmtId="164" fontId="12" fillId="3" borderId="0" xfId="0" applyNumberFormat="1" applyFont="1" applyFill="1"/>
    <xf numFmtId="0" fontId="9" fillId="0" borderId="0" xfId="0" applyFont="1" applyAlignment="1">
      <alignment vertical="center"/>
    </xf>
    <xf numFmtId="166" fontId="0" fillId="0" borderId="0" xfId="0" applyNumberFormat="1"/>
    <xf numFmtId="166" fontId="0" fillId="0" borderId="0" xfId="1" applyNumberFormat="1" applyFont="1"/>
    <xf numFmtId="0" fontId="0" fillId="0" borderId="13" xfId="0" applyBorder="1" applyAlignment="1">
      <alignment horizontal="center"/>
    </xf>
    <xf numFmtId="164" fontId="0" fillId="0" borderId="13" xfId="0" applyNumberFormat="1" applyBorder="1" applyAlignment="1">
      <alignment horizontal="center"/>
    </xf>
    <xf numFmtId="0" fontId="0" fillId="0" borderId="13" xfId="0" applyBorder="1"/>
    <xf numFmtId="0" fontId="0" fillId="0" borderId="0" xfId="0" applyAlignment="1">
      <alignment wrapText="1"/>
    </xf>
    <xf numFmtId="0" fontId="9" fillId="0" borderId="0" xfId="0" applyFont="1"/>
    <xf numFmtId="0" fontId="0" fillId="0" borderId="0" xfId="0" applyAlignment="1">
      <alignment vertical="center"/>
    </xf>
    <xf numFmtId="0" fontId="0" fillId="5" borderId="0" xfId="0" applyFill="1"/>
    <xf numFmtId="1" fontId="0" fillId="5" borderId="0" xfId="0" applyNumberFormat="1" applyFill="1"/>
    <xf numFmtId="165" fontId="0" fillId="3" borderId="0" xfId="0" applyNumberFormat="1" applyFill="1"/>
    <xf numFmtId="9" fontId="0" fillId="0" borderId="0" xfId="0" applyNumberFormat="1"/>
    <xf numFmtId="164" fontId="0" fillId="5" borderId="0" xfId="0" applyNumberFormat="1" applyFill="1"/>
    <xf numFmtId="0" fontId="16" fillId="0" borderId="0" xfId="0" applyFont="1" applyAlignment="1">
      <alignment vertical="center"/>
    </xf>
    <xf numFmtId="0" fontId="15" fillId="0" borderId="0" xfId="0" applyFont="1" applyAlignment="1">
      <alignment vertical="center"/>
    </xf>
    <xf numFmtId="164" fontId="18" fillId="0" borderId="0" xfId="0" applyNumberFormat="1" applyFont="1"/>
    <xf numFmtId="164" fontId="18" fillId="0" borderId="0" xfId="0" applyNumberFormat="1" applyFont="1" applyAlignment="1">
      <alignment vertical="center"/>
    </xf>
    <xf numFmtId="164" fontId="0" fillId="0" borderId="0" xfId="0" applyNumberFormat="1" applyFont="1" applyAlignment="1">
      <alignment vertical="center"/>
    </xf>
    <xf numFmtId="0" fontId="0" fillId="0" borderId="0" xfId="0" applyAlignment="1">
      <alignment horizontal="center"/>
    </xf>
    <xf numFmtId="0" fontId="1" fillId="0" borderId="12" xfId="0" applyFont="1" applyBorder="1" applyAlignment="1">
      <alignment horizontal="center"/>
    </xf>
    <xf numFmtId="0" fontId="0" fillId="6" borderId="0" xfId="0" applyFill="1" applyAlignment="1">
      <alignment vertical="center"/>
    </xf>
    <xf numFmtId="0" fontId="17" fillId="0" borderId="0" xfId="0" applyFont="1" applyAlignment="1">
      <alignment vertical="center"/>
    </xf>
    <xf numFmtId="0" fontId="15" fillId="6" borderId="0" xfId="0" applyFont="1" applyFill="1" applyAlignment="1">
      <alignment vertical="center"/>
    </xf>
    <xf numFmtId="164" fontId="0" fillId="0" borderId="0" xfId="0" applyNumberFormat="1" applyAlignment="1">
      <alignment horizontal="right"/>
    </xf>
    <xf numFmtId="0" fontId="1" fillId="0" borderId="14" xfId="0" applyFont="1" applyBorder="1"/>
    <xf numFmtId="164" fontId="0" fillId="0" borderId="0" xfId="0" applyNumberFormat="1" applyBorder="1" applyAlignment="1">
      <alignment horizontal="right"/>
    </xf>
    <xf numFmtId="0" fontId="1" fillId="0" borderId="0" xfId="0" applyFont="1" applyBorder="1"/>
    <xf numFmtId="0" fontId="15" fillId="0" borderId="0" xfId="0" applyFont="1" applyBorder="1" applyAlignment="1">
      <alignment vertical="center"/>
    </xf>
    <xf numFmtId="0" fontId="15" fillId="6" borderId="0" xfId="0" applyFont="1" applyFill="1" applyBorder="1" applyAlignment="1">
      <alignment vertical="center"/>
    </xf>
    <xf numFmtId="0" fontId="0" fillId="0" borderId="0" xfId="0" applyBorder="1"/>
    <xf numFmtId="0" fontId="0" fillId="0" borderId="0" xfId="0" applyBorder="1" applyAlignment="1">
      <alignment vertical="center"/>
    </xf>
    <xf numFmtId="164" fontId="0" fillId="0" borderId="0" xfId="0" applyNumberFormat="1" applyBorder="1"/>
    <xf numFmtId="164" fontId="1" fillId="0" borderId="0" xfId="0" applyNumberFormat="1" applyFont="1" applyBorder="1"/>
    <xf numFmtId="0" fontId="0" fillId="6" borderId="0" xfId="0" applyFill="1" applyBorder="1" applyAlignment="1">
      <alignment vertical="center"/>
    </xf>
    <xf numFmtId="0" fontId="17" fillId="0" borderId="0" xfId="0" applyFont="1" applyBorder="1" applyAlignment="1">
      <alignment vertical="center"/>
    </xf>
    <xf numFmtId="0" fontId="2" fillId="2" borderId="6" xfId="0" applyFont="1" applyFill="1" applyBorder="1" applyAlignment="1">
      <alignment horizontal="center" vertical="center" wrapText="1" readingOrder="1"/>
    </xf>
    <xf numFmtId="0" fontId="2" fillId="2" borderId="1" xfId="0" applyFont="1" applyFill="1" applyBorder="1" applyAlignment="1">
      <alignment horizontal="center" vertical="center" wrapText="1" readingOrder="1"/>
    </xf>
    <xf numFmtId="0" fontId="19" fillId="7" borderId="16" xfId="0" applyFont="1" applyFill="1" applyBorder="1" applyAlignment="1">
      <alignment horizontal="center" vertical="center" wrapText="1"/>
    </xf>
    <xf numFmtId="0" fontId="19" fillId="7" borderId="18" xfId="0" applyFont="1" applyFill="1" applyBorder="1" applyAlignment="1">
      <alignment horizontal="center" vertical="center" wrapText="1"/>
    </xf>
    <xf numFmtId="0" fontId="19" fillId="7" borderId="15" xfId="0" applyFont="1" applyFill="1" applyBorder="1" applyAlignment="1">
      <alignment horizontal="center" vertical="center" wrapText="1"/>
    </xf>
    <xf numFmtId="0" fontId="19" fillId="7" borderId="17" xfId="0" applyFont="1" applyFill="1" applyBorder="1" applyAlignment="1">
      <alignment horizontal="center" vertical="center" wrapText="1"/>
    </xf>
    <xf numFmtId="0" fontId="20" fillId="0" borderId="18" xfId="0" applyFont="1" applyBorder="1" applyAlignment="1">
      <alignment vertical="center" wrapText="1"/>
    </xf>
    <xf numFmtId="0" fontId="20" fillId="0" borderId="0" xfId="0" applyFont="1" applyBorder="1" applyAlignment="1">
      <alignment vertical="center" wrapText="1"/>
    </xf>
    <xf numFmtId="0" fontId="20" fillId="0" borderId="18" xfId="0" applyFont="1" applyBorder="1" applyAlignment="1">
      <alignment horizontal="center" vertical="center" wrapText="1"/>
    </xf>
    <xf numFmtId="0" fontId="20" fillId="0" borderId="17" xfId="0" applyFont="1" applyBorder="1" applyAlignment="1">
      <alignment horizontal="center" vertical="center" wrapText="1"/>
    </xf>
    <xf numFmtId="0" fontId="21" fillId="0" borderId="0" xfId="0" applyFont="1" applyBorder="1" applyAlignment="1">
      <alignment vertical="center"/>
    </xf>
    <xf numFmtId="0" fontId="21" fillId="6" borderId="0" xfId="0" applyFont="1" applyFill="1" applyBorder="1" applyAlignment="1">
      <alignment vertical="center"/>
    </xf>
    <xf numFmtId="0" fontId="1" fillId="0" borderId="0" xfId="0" applyFont="1" applyBorder="1" applyAlignment="1">
      <alignment vertical="center"/>
    </xf>
    <xf numFmtId="164" fontId="1" fillId="0" borderId="0" xfId="0" applyNumberFormat="1" applyFont="1" applyBorder="1" applyAlignment="1">
      <alignment horizontal="right"/>
    </xf>
    <xf numFmtId="2" fontId="1" fillId="0" borderId="0" xfId="0" applyNumberFormat="1" applyFont="1" applyBorder="1" applyAlignment="1">
      <alignment horizontal="right"/>
    </xf>
    <xf numFmtId="1" fontId="20" fillId="0" borderId="18" xfId="0" applyNumberFormat="1" applyFont="1" applyBorder="1" applyAlignment="1">
      <alignment horizontal="center" vertical="center" wrapText="1"/>
    </xf>
    <xf numFmtId="1" fontId="1" fillId="0" borderId="0" xfId="0" applyNumberFormat="1" applyFont="1" applyBorder="1"/>
    <xf numFmtId="0" fontId="1" fillId="0" borderId="0" xfId="0" applyFont="1" applyAlignment="1">
      <alignment horizontal="right"/>
    </xf>
    <xf numFmtId="0" fontId="6" fillId="0" borderId="0" xfId="0" applyFont="1"/>
    <xf numFmtId="0" fontId="1" fillId="0" borderId="0" xfId="0" applyFont="1" applyFill="1"/>
    <xf numFmtId="0" fontId="2" fillId="0" borderId="0" xfId="0" applyFont="1" applyFill="1" applyBorder="1" applyAlignment="1">
      <alignment horizontal="center" vertical="center" wrapText="1" readingOrder="1"/>
    </xf>
    <xf numFmtId="0" fontId="3" fillId="0" borderId="0" xfId="0" applyFont="1" applyFill="1" applyBorder="1" applyAlignment="1">
      <alignment horizontal="center" vertical="center" wrapText="1" readingOrder="1"/>
    </xf>
    <xf numFmtId="0" fontId="3" fillId="0" borderId="5" xfId="0" applyFont="1" applyFill="1" applyBorder="1" applyAlignment="1">
      <alignment horizontal="center" vertical="center" wrapText="1" readingOrder="1"/>
    </xf>
    <xf numFmtId="1" fontId="3" fillId="0" borderId="5" xfId="0" applyNumberFormat="1" applyFont="1" applyFill="1" applyBorder="1" applyAlignment="1">
      <alignment horizontal="center" vertical="center" wrapText="1" readingOrder="1"/>
    </xf>
    <xf numFmtId="0" fontId="3" fillId="0" borderId="6" xfId="0" applyFont="1" applyFill="1" applyBorder="1" applyAlignment="1">
      <alignment horizontal="center" vertical="center" wrapText="1" readingOrder="1"/>
    </xf>
    <xf numFmtId="2" fontId="1" fillId="0" borderId="0" xfId="0" applyNumberFormat="1" applyFont="1" applyBorder="1"/>
    <xf numFmtId="0" fontId="1" fillId="0" borderId="19" xfId="0" applyFont="1" applyBorder="1"/>
    <xf numFmtId="166" fontId="1" fillId="0" borderId="0" xfId="1" applyNumberFormat="1" applyFont="1" applyBorder="1"/>
    <xf numFmtId="9" fontId="3" fillId="0" borderId="12" xfId="0" applyNumberFormat="1" applyFont="1" applyFill="1" applyBorder="1" applyAlignment="1">
      <alignment horizontal="center" vertical="center" wrapText="1" readingOrder="1"/>
    </xf>
    <xf numFmtId="0" fontId="6" fillId="0" borderId="12" xfId="0" applyFont="1" applyBorder="1"/>
    <xf numFmtId="0" fontId="9" fillId="0" borderId="0" xfId="0" applyFont="1" applyAlignment="1">
      <alignment horizontal="center" wrapText="1"/>
    </xf>
    <xf numFmtId="0" fontId="19" fillId="7" borderId="16" xfId="0" applyFont="1" applyFill="1" applyBorder="1" applyAlignment="1">
      <alignment horizontal="center" vertical="center" wrapText="1"/>
    </xf>
    <xf numFmtId="0" fontId="19" fillId="7" borderId="18" xfId="0" applyFont="1" applyFill="1" applyBorder="1" applyAlignment="1">
      <alignment horizontal="center" vertical="center" wrapText="1"/>
    </xf>
    <xf numFmtId="0" fontId="2" fillId="2" borderId="2" xfId="0" applyFont="1" applyFill="1" applyBorder="1" applyAlignment="1">
      <alignment horizontal="left" vertical="center" wrapText="1" readingOrder="1"/>
    </xf>
    <xf numFmtId="0" fontId="2" fillId="2" borderId="3" xfId="0" applyFont="1" applyFill="1" applyBorder="1" applyAlignment="1">
      <alignment horizontal="left" vertical="center" wrapText="1" readingOrder="1"/>
    </xf>
    <xf numFmtId="0" fontId="2" fillId="2" borderId="4" xfId="0" applyFont="1" applyFill="1" applyBorder="1" applyAlignment="1">
      <alignment horizontal="left" vertical="center" wrapText="1" readingOrder="1"/>
    </xf>
    <xf numFmtId="0" fontId="2" fillId="2" borderId="6" xfId="0" applyFont="1" applyFill="1" applyBorder="1" applyAlignment="1">
      <alignment horizontal="center" vertical="center" wrapText="1" readingOrder="1"/>
    </xf>
    <xf numFmtId="0" fontId="2" fillId="2" borderId="1" xfId="0" applyFont="1" applyFill="1" applyBorder="1" applyAlignment="1">
      <alignment horizontal="center" vertical="center" wrapText="1" readingOrder="1"/>
    </xf>
    <xf numFmtId="0" fontId="2" fillId="2" borderId="7" xfId="0" applyFont="1" applyFill="1" applyBorder="1" applyAlignment="1">
      <alignment horizontal="center" vertical="center" wrapText="1" readingOrder="1"/>
    </xf>
    <xf numFmtId="0" fontId="0" fillId="0" borderId="7" xfId="0" applyBorder="1" applyAlignment="1">
      <alignment horizontal="center" vertical="center" wrapText="1" readingOrder="1"/>
    </xf>
    <xf numFmtId="0" fontId="0" fillId="0" borderId="1" xfId="0" applyBorder="1" applyAlignment="1">
      <alignment horizontal="center" vertical="center" wrapText="1" readingOrder="1"/>
    </xf>
    <xf numFmtId="0" fontId="22" fillId="0" borderId="20" xfId="0" applyFont="1" applyBorder="1" applyAlignment="1">
      <alignment horizontal="center" vertical="center" wrapText="1" readingOrder="1"/>
    </xf>
    <xf numFmtId="0" fontId="0" fillId="0" borderId="21" xfId="0" applyFont="1" applyBorder="1" applyAlignmen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15</xdr:row>
      <xdr:rowOff>0</xdr:rowOff>
    </xdr:from>
    <xdr:to>
      <xdr:col>10</xdr:col>
      <xdr:colOff>806048</xdr:colOff>
      <xdr:row>19</xdr:row>
      <xdr:rowOff>121601</xdr:rowOff>
    </xdr:to>
    <xdr:pic>
      <xdr:nvPicPr>
        <xdr:cNvPr id="2" name="Picture 1">
          <a:extLst>
            <a:ext uri="{FF2B5EF4-FFF2-40B4-BE49-F238E27FC236}">
              <a16:creationId xmlns:a16="http://schemas.microsoft.com/office/drawing/2014/main" id="{0A6C2987-E289-4F69-B58F-071F9BA52ABB}"/>
            </a:ext>
          </a:extLst>
        </xdr:cNvPr>
        <xdr:cNvPicPr>
          <a:picLocks noChangeAspect="1"/>
        </xdr:cNvPicPr>
      </xdr:nvPicPr>
      <xdr:blipFill>
        <a:blip xmlns:r="http://schemas.openxmlformats.org/officeDocument/2006/relationships" r:embed="rId1"/>
        <a:stretch>
          <a:fillRect/>
        </a:stretch>
      </xdr:blipFill>
      <xdr:spPr>
        <a:xfrm>
          <a:off x="9474200" y="2980267"/>
          <a:ext cx="3219048" cy="8666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EAFA1-A161-47A9-8D22-46BD94836FBD}">
  <dimension ref="A1:O86"/>
  <sheetViews>
    <sheetView zoomScale="90" zoomScaleNormal="90" workbookViewId="0">
      <selection activeCell="I30" sqref="I30"/>
    </sheetView>
  </sheetViews>
  <sheetFormatPr defaultRowHeight="14.4" x14ac:dyDescent="0.3"/>
  <cols>
    <col min="1" max="1" width="25.88671875" customWidth="1"/>
    <col min="2" max="3" width="16.21875" customWidth="1"/>
    <col min="4" max="4" width="17.77734375" bestFit="1" customWidth="1"/>
    <col min="5" max="5" width="15.109375" bestFit="1" customWidth="1"/>
    <col min="6" max="6" width="18.33203125" customWidth="1"/>
    <col min="7" max="7" width="9.6640625" customWidth="1"/>
    <col min="8" max="8" width="19" customWidth="1"/>
    <col min="9" max="9" width="18" customWidth="1"/>
    <col min="10" max="10" width="17.109375" bestFit="1" customWidth="1"/>
    <col min="11" max="11" width="19.33203125" bestFit="1" customWidth="1"/>
    <col min="12" max="12" width="10.77734375" customWidth="1"/>
    <col min="13" max="13" width="3.44140625" customWidth="1"/>
    <col min="14" max="14" width="10.77734375" customWidth="1"/>
    <col min="15" max="15" width="12.109375" customWidth="1"/>
    <col min="16" max="16" width="13.5546875" bestFit="1" customWidth="1"/>
    <col min="17" max="17" width="4.5546875" bestFit="1" customWidth="1"/>
  </cols>
  <sheetData>
    <row r="1" spans="1:15" x14ac:dyDescent="0.3">
      <c r="A1" s="46" t="s">
        <v>76</v>
      </c>
    </row>
    <row r="2" spans="1:15" x14ac:dyDescent="0.3">
      <c r="A2" s="47" t="s">
        <v>75</v>
      </c>
    </row>
    <row r="3" spans="1:15" x14ac:dyDescent="0.3">
      <c r="A3" s="47" t="s">
        <v>74</v>
      </c>
    </row>
    <row r="4" spans="1:15" x14ac:dyDescent="0.3">
      <c r="A4" s="47" t="s">
        <v>73</v>
      </c>
    </row>
    <row r="6" spans="1:15" x14ac:dyDescent="0.3">
      <c r="A6" s="46" t="s">
        <v>72</v>
      </c>
    </row>
    <row r="7" spans="1:15" x14ac:dyDescent="0.3">
      <c r="A7" t="s">
        <v>71</v>
      </c>
    </row>
    <row r="8" spans="1:15" ht="29.4" customHeight="1" x14ac:dyDescent="0.3">
      <c r="B8" s="105" t="s">
        <v>70</v>
      </c>
      <c r="C8" s="105"/>
      <c r="D8" s="105"/>
      <c r="F8" s="45" t="s">
        <v>69</v>
      </c>
      <c r="G8" s="45" t="s">
        <v>68</v>
      </c>
      <c r="H8" s="45" t="s">
        <v>67</v>
      </c>
      <c r="I8" s="45"/>
      <c r="J8" s="45" t="s">
        <v>69</v>
      </c>
      <c r="K8" s="45" t="s">
        <v>68</v>
      </c>
      <c r="L8" s="45" t="s">
        <v>67</v>
      </c>
      <c r="M8" s="45"/>
      <c r="N8" s="45" t="s">
        <v>66</v>
      </c>
      <c r="O8" s="45" t="s">
        <v>65</v>
      </c>
    </row>
    <row r="9" spans="1:15" x14ac:dyDescent="0.3">
      <c r="A9" s="44"/>
      <c r="B9" s="42" t="s">
        <v>64</v>
      </c>
      <c r="C9" s="43" t="s">
        <v>20</v>
      </c>
      <c r="D9" s="42" t="s">
        <v>26</v>
      </c>
      <c r="E9" s="42"/>
      <c r="F9" s="42" t="s">
        <v>26</v>
      </c>
      <c r="G9" s="42" t="s">
        <v>26</v>
      </c>
      <c r="H9" s="42" t="s">
        <v>26</v>
      </c>
      <c r="I9" s="42"/>
      <c r="J9" s="42" t="s">
        <v>20</v>
      </c>
      <c r="K9" s="42" t="s">
        <v>20</v>
      </c>
      <c r="L9" s="42" t="s">
        <v>20</v>
      </c>
      <c r="N9" s="42" t="s">
        <v>63</v>
      </c>
      <c r="O9" s="42" t="s">
        <v>63</v>
      </c>
    </row>
    <row r="10" spans="1:15" x14ac:dyDescent="0.3">
      <c r="A10" t="s">
        <v>62</v>
      </c>
      <c r="B10" s="41">
        <v>11805920</v>
      </c>
      <c r="C10" s="34">
        <f>B10/10000</f>
        <v>1180.5920000000001</v>
      </c>
      <c r="D10" s="34">
        <f>C10*2.47105</f>
        <v>2917.3018616000004</v>
      </c>
      <c r="F10" s="34">
        <v>1277.8420000000001</v>
      </c>
      <c r="G10" s="34">
        <v>183.38399999999999</v>
      </c>
      <c r="H10" s="34">
        <f>F10+G10</f>
        <v>1461.2260000000001</v>
      </c>
      <c r="J10" s="34">
        <f t="shared" ref="J10:L12" si="0">F10/2.47105</f>
        <v>517.12510875943428</v>
      </c>
      <c r="K10" s="34">
        <f t="shared" si="0"/>
        <v>74.212986382307108</v>
      </c>
      <c r="L10" s="34">
        <f t="shared" si="0"/>
        <v>591.33809514174141</v>
      </c>
      <c r="N10" s="34">
        <f>J10/L10*100</f>
        <v>87.449990624311368</v>
      </c>
      <c r="O10" s="34">
        <f>J10/C10*100</f>
        <v>43.80218642506761</v>
      </c>
    </row>
    <row r="11" spans="1:15" x14ac:dyDescent="0.3">
      <c r="A11" t="s">
        <v>61</v>
      </c>
      <c r="B11" s="41">
        <v>9151580</v>
      </c>
      <c r="C11" s="34">
        <f>B11/10000</f>
        <v>915.15800000000002</v>
      </c>
      <c r="D11" s="34">
        <f>C11*2.47105</f>
        <v>2261.4011759</v>
      </c>
      <c r="F11" s="34">
        <v>811.26499999999999</v>
      </c>
      <c r="G11" s="34">
        <v>206.27699999999999</v>
      </c>
      <c r="H11" s="34">
        <f>F11+G11</f>
        <v>1017.5419999999999</v>
      </c>
      <c r="J11" s="34">
        <f t="shared" si="0"/>
        <v>328.30780437465853</v>
      </c>
      <c r="K11" s="34">
        <f t="shared" si="0"/>
        <v>83.477469092086352</v>
      </c>
      <c r="L11" s="34">
        <f t="shared" si="0"/>
        <v>411.78527346674485</v>
      </c>
      <c r="N11" s="34">
        <f>J11/L11*100</f>
        <v>79.727912951013337</v>
      </c>
      <c r="O11" s="34">
        <f>J11/C11*100</f>
        <v>35.874439645903607</v>
      </c>
    </row>
    <row r="12" spans="1:15" x14ac:dyDescent="0.3">
      <c r="A12" t="s">
        <v>60</v>
      </c>
      <c r="B12" s="40">
        <f>SUM(B10:B11)</f>
        <v>20957500</v>
      </c>
      <c r="C12" s="34">
        <f>B12/10000</f>
        <v>2095.75</v>
      </c>
      <c r="D12" s="34">
        <f>C12*2.47105</f>
        <v>5178.7030374999995</v>
      </c>
      <c r="F12" s="34">
        <f>SUM(F10:F11)</f>
        <v>2089.107</v>
      </c>
      <c r="G12" s="34">
        <f>SUM(G10:G11)</f>
        <v>389.66099999999994</v>
      </c>
      <c r="H12" s="34">
        <f>F12+G12</f>
        <v>2478.768</v>
      </c>
      <c r="J12" s="34">
        <f t="shared" si="0"/>
        <v>845.43291313409281</v>
      </c>
      <c r="K12" s="34">
        <f t="shared" si="0"/>
        <v>157.69045547439345</v>
      </c>
      <c r="L12" s="34">
        <f t="shared" si="0"/>
        <v>1003.1233686084863</v>
      </c>
      <c r="N12" s="34">
        <f>J12/L12*100</f>
        <v>84.280053639549962</v>
      </c>
      <c r="O12" s="34">
        <f>J12/C12*100</f>
        <v>40.340351336471088</v>
      </c>
    </row>
    <row r="14" spans="1:15" x14ac:dyDescent="0.3">
      <c r="A14" s="39" t="s">
        <v>59</v>
      </c>
    </row>
    <row r="15" spans="1:15" x14ac:dyDescent="0.3">
      <c r="A15" s="39"/>
    </row>
    <row r="16" spans="1:15" x14ac:dyDescent="0.3">
      <c r="A16" s="34"/>
      <c r="B16" s="28" t="s">
        <v>58</v>
      </c>
      <c r="C16" s="28" t="s">
        <v>20</v>
      </c>
      <c r="D16" s="28" t="s">
        <v>57</v>
      </c>
      <c r="E16" s="28"/>
      <c r="G16" s="28"/>
      <c r="H16" s="28"/>
      <c r="I16" s="28"/>
      <c r="J16" s="28"/>
    </row>
    <row r="17" spans="1:12" x14ac:dyDescent="0.3">
      <c r="A17" t="s">
        <v>56</v>
      </c>
      <c r="B17" s="14">
        <v>5903.7449999999999</v>
      </c>
      <c r="C17" s="14">
        <f>B17/2.47105</f>
        <v>2389.1645252018375</v>
      </c>
      <c r="D17" s="33">
        <f>B17/640</f>
        <v>9.2246015625000002</v>
      </c>
      <c r="E17" s="28"/>
      <c r="G17" s="28"/>
      <c r="H17" s="28"/>
      <c r="I17" s="28"/>
      <c r="J17" s="28"/>
    </row>
    <row r="18" spans="1:12" x14ac:dyDescent="0.3">
      <c r="A18" s="28" t="s">
        <v>55</v>
      </c>
      <c r="B18" s="38">
        <v>3768.4</v>
      </c>
      <c r="C18" s="14">
        <f>B18/2.47105</f>
        <v>1525.019728455515</v>
      </c>
      <c r="D18" s="33">
        <f>B18/640</f>
        <v>5.8881250000000005</v>
      </c>
      <c r="E18" s="28"/>
      <c r="G18" s="28"/>
      <c r="H18" s="28"/>
      <c r="I18" s="28"/>
      <c r="J18" s="28"/>
    </row>
    <row r="19" spans="1:12" x14ac:dyDescent="0.3">
      <c r="A19" s="28" t="s">
        <v>54</v>
      </c>
      <c r="B19" s="38">
        <v>2135.3000000000002</v>
      </c>
      <c r="C19" s="14">
        <f>B19/2.47105</f>
        <v>864.12658586430882</v>
      </c>
      <c r="D19" s="33">
        <f>B19/640</f>
        <v>3.3364062500000005</v>
      </c>
      <c r="E19" s="28"/>
      <c r="G19" s="28"/>
      <c r="H19" s="28"/>
      <c r="I19" s="28"/>
      <c r="J19" s="28"/>
    </row>
    <row r="20" spans="1:12" x14ac:dyDescent="0.3">
      <c r="A20" s="28"/>
      <c r="B20" s="28"/>
      <c r="C20" s="28"/>
      <c r="D20" s="28"/>
      <c r="E20" s="28"/>
      <c r="F20" s="28"/>
      <c r="G20" s="28"/>
      <c r="H20" s="28"/>
      <c r="I20" s="28"/>
      <c r="J20" s="28"/>
    </row>
    <row r="21" spans="1:12" x14ac:dyDescent="0.3">
      <c r="A21" s="37" t="s">
        <v>52</v>
      </c>
      <c r="B21" s="28"/>
      <c r="C21" s="28"/>
      <c r="D21" s="28"/>
      <c r="E21" s="28"/>
      <c r="F21" s="28"/>
      <c r="G21" s="28"/>
      <c r="H21" s="28"/>
      <c r="I21" s="28"/>
      <c r="J21" s="28"/>
    </row>
    <row r="22" spans="1:12" x14ac:dyDescent="0.3">
      <c r="A22" s="28" t="s">
        <v>44</v>
      </c>
      <c r="B22" s="28" t="s">
        <v>43</v>
      </c>
      <c r="C22" s="26" t="s">
        <v>51</v>
      </c>
      <c r="D22" s="26" t="s">
        <v>41</v>
      </c>
      <c r="E22" s="26" t="s">
        <v>40</v>
      </c>
      <c r="F22" s="26" t="s">
        <v>39</v>
      </c>
      <c r="G22" s="28"/>
      <c r="H22" s="26" t="s">
        <v>50</v>
      </c>
      <c r="I22" s="26" t="s">
        <v>49</v>
      </c>
      <c r="J22" s="26" t="s">
        <v>48</v>
      </c>
      <c r="K22" s="26" t="s">
        <v>47</v>
      </c>
    </row>
    <row r="23" spans="1:12" x14ac:dyDescent="0.3">
      <c r="A23">
        <v>1321.2840000000001</v>
      </c>
      <c r="B23">
        <v>2288.3319999999999</v>
      </c>
      <c r="C23">
        <f>A23+B23</f>
        <v>3609.616</v>
      </c>
      <c r="D23" s="27">
        <v>1334.473</v>
      </c>
      <c r="E23" s="27">
        <v>4944.0889999999999</v>
      </c>
      <c r="F23" s="14">
        <f>C23/E23*100</f>
        <v>73.0087180873969</v>
      </c>
      <c r="G23" s="28"/>
      <c r="H23" s="34">
        <f>C23/$B$17*100</f>
        <v>61.141123134552736</v>
      </c>
      <c r="I23" s="34">
        <f>E23/$B$17*100</f>
        <v>83.744961884363235</v>
      </c>
      <c r="J23" s="14">
        <f>A23/B17*100</f>
        <v>22.380438179494544</v>
      </c>
      <c r="K23" s="14">
        <f>B23/B17*100</f>
        <v>38.760684955058188</v>
      </c>
      <c r="L23" s="34"/>
    </row>
    <row r="24" spans="1:12" x14ac:dyDescent="0.3">
      <c r="E24" s="28"/>
      <c r="F24" s="28"/>
      <c r="G24" s="28"/>
      <c r="H24" s="28"/>
      <c r="I24" s="28"/>
      <c r="J24" s="28"/>
    </row>
    <row r="25" spans="1:12" x14ac:dyDescent="0.3">
      <c r="A25" s="37" t="s">
        <v>46</v>
      </c>
      <c r="D25" s="28"/>
      <c r="E25" s="28"/>
      <c r="F25" s="14"/>
      <c r="G25" s="28"/>
      <c r="H25" s="28"/>
      <c r="I25" s="28"/>
      <c r="J25" s="28"/>
    </row>
    <row r="26" spans="1:12" x14ac:dyDescent="0.3">
      <c r="A26" s="28" t="s">
        <v>44</v>
      </c>
      <c r="B26" s="28" t="s">
        <v>43</v>
      </c>
      <c r="C26" s="26" t="s">
        <v>42</v>
      </c>
      <c r="D26" s="26" t="s">
        <v>41</v>
      </c>
      <c r="E26" s="26" t="s">
        <v>40</v>
      </c>
      <c r="F26" s="26" t="s">
        <v>39</v>
      </c>
      <c r="H26" s="28"/>
      <c r="I26" s="28"/>
      <c r="J26" s="28"/>
    </row>
    <row r="27" spans="1:12" ht="15.6" x14ac:dyDescent="0.3">
      <c r="A27" s="36">
        <v>1040.925</v>
      </c>
      <c r="B27" s="36">
        <v>1038.317</v>
      </c>
      <c r="C27" s="27">
        <v>2079.2420000000002</v>
      </c>
      <c r="D27" s="27">
        <v>890.94600000000003</v>
      </c>
      <c r="E27" s="27">
        <v>2970.1880000000001</v>
      </c>
      <c r="F27" s="29">
        <f>C27/E27*100</f>
        <v>70.003716936436362</v>
      </c>
      <c r="H27" s="28"/>
      <c r="I27" s="28"/>
      <c r="J27" s="28"/>
    </row>
    <row r="28" spans="1:12" x14ac:dyDescent="0.3">
      <c r="C28" s="28"/>
      <c r="D28" s="28"/>
      <c r="E28" s="28"/>
      <c r="F28" s="14"/>
      <c r="H28" s="28"/>
      <c r="I28" s="28"/>
      <c r="J28" s="28"/>
    </row>
    <row r="29" spans="1:12" x14ac:dyDescent="0.3">
      <c r="A29" s="37" t="s">
        <v>45</v>
      </c>
      <c r="D29" s="28"/>
      <c r="E29" s="28"/>
      <c r="F29" s="14"/>
      <c r="H29" s="28"/>
      <c r="I29" s="28"/>
      <c r="J29" s="28"/>
    </row>
    <row r="30" spans="1:12" x14ac:dyDescent="0.3">
      <c r="A30" s="28" t="s">
        <v>44</v>
      </c>
      <c r="B30" s="28" t="s">
        <v>43</v>
      </c>
      <c r="C30" s="26" t="s">
        <v>42</v>
      </c>
      <c r="D30" s="26" t="s">
        <v>41</v>
      </c>
      <c r="E30" s="26" t="s">
        <v>40</v>
      </c>
      <c r="F30" s="26" t="s">
        <v>39</v>
      </c>
      <c r="H30" s="28"/>
      <c r="I30" s="28"/>
      <c r="J30" s="28"/>
    </row>
    <row r="31" spans="1:12" ht="15.6" x14ac:dyDescent="0.3">
      <c r="A31" s="36">
        <v>280.35899999999998</v>
      </c>
      <c r="B31" s="36">
        <v>1250.0150000000001</v>
      </c>
      <c r="C31" s="27">
        <v>1530.374</v>
      </c>
      <c r="D31" s="27">
        <v>443.52699999999999</v>
      </c>
      <c r="E31" s="27">
        <v>1973.9010000000001</v>
      </c>
      <c r="F31" s="29">
        <f>C31/E31*100</f>
        <v>77.530433390529723</v>
      </c>
    </row>
    <row r="33" spans="1:5" x14ac:dyDescent="0.3">
      <c r="A33" t="s">
        <v>38</v>
      </c>
    </row>
    <row r="34" spans="1:5" x14ac:dyDescent="0.3">
      <c r="B34" t="s">
        <v>26</v>
      </c>
      <c r="C34" t="s">
        <v>37</v>
      </c>
      <c r="D34" t="s">
        <v>27</v>
      </c>
      <c r="E34" t="s">
        <v>28</v>
      </c>
    </row>
    <row r="35" spans="1:5" x14ac:dyDescent="0.3">
      <c r="A35" t="s">
        <v>36</v>
      </c>
      <c r="B35">
        <v>1689.5900000000001</v>
      </c>
      <c r="C35" s="35">
        <f>B35/B37</f>
        <v>0.69877250882983044</v>
      </c>
      <c r="D35" s="34">
        <f>C35*E23</f>
        <v>3454.7934744079676</v>
      </c>
      <c r="E35" s="33">
        <f>D35/2.47105</f>
        <v>1398.1074743157635</v>
      </c>
    </row>
    <row r="36" spans="1:5" x14ac:dyDescent="0.3">
      <c r="A36" t="s">
        <v>1</v>
      </c>
      <c r="B36">
        <v>728.35</v>
      </c>
      <c r="C36" s="35">
        <f>B36/B37</f>
        <v>0.30122749117016967</v>
      </c>
      <c r="D36" s="34">
        <f>C36*E23</f>
        <v>1489.2955255920331</v>
      </c>
      <c r="E36" s="33">
        <f>D36/2.47105</f>
        <v>602.69744666924305</v>
      </c>
    </row>
    <row r="37" spans="1:5" x14ac:dyDescent="0.3">
      <c r="A37" t="s">
        <v>29</v>
      </c>
      <c r="B37">
        <f>SUM(B35:B36)</f>
        <v>2417.94</v>
      </c>
    </row>
    <row r="38" spans="1:5" x14ac:dyDescent="0.3">
      <c r="A38" t="s">
        <v>30</v>
      </c>
    </row>
    <row r="40" spans="1:5" x14ac:dyDescent="0.3">
      <c r="A40" s="39" t="s">
        <v>118</v>
      </c>
    </row>
    <row r="42" spans="1:5" ht="15.6" x14ac:dyDescent="0.3">
      <c r="A42" s="53" t="s">
        <v>119</v>
      </c>
    </row>
    <row r="44" spans="1:5" x14ac:dyDescent="0.3">
      <c r="A44" s="54" t="s">
        <v>120</v>
      </c>
      <c r="B44" s="58" t="s">
        <v>123</v>
      </c>
      <c r="C44" s="58" t="s">
        <v>124</v>
      </c>
    </row>
    <row r="45" spans="1:5" x14ac:dyDescent="0.3">
      <c r="A45" t="s">
        <v>14</v>
      </c>
      <c r="B45" s="56">
        <v>3190.3539999999998</v>
      </c>
      <c r="C45" s="34">
        <f>B45/2.47105</f>
        <v>1291.0924505776895</v>
      </c>
    </row>
    <row r="46" spans="1:5" x14ac:dyDescent="0.3">
      <c r="A46" t="s">
        <v>1</v>
      </c>
      <c r="B46" s="56">
        <v>1753.7349999999999</v>
      </c>
      <c r="C46" s="34">
        <f>B46/2.47105</f>
        <v>709.71247040731669</v>
      </c>
    </row>
    <row r="47" spans="1:5" x14ac:dyDescent="0.3">
      <c r="A47" t="s">
        <v>125</v>
      </c>
      <c r="B47" s="55">
        <f>SUM(B45:B46)</f>
        <v>4944.0889999999999</v>
      </c>
      <c r="C47" s="34">
        <f>B47/2.47105</f>
        <v>2000.8049209850064</v>
      </c>
    </row>
    <row r="48" spans="1:5" x14ac:dyDescent="0.3">
      <c r="B48" s="14"/>
      <c r="C48" s="34"/>
    </row>
    <row r="49" spans="1:5" x14ac:dyDescent="0.3">
      <c r="A49" s="54" t="s">
        <v>121</v>
      </c>
      <c r="B49" s="14"/>
      <c r="C49" s="34"/>
    </row>
    <row r="50" spans="1:5" x14ac:dyDescent="0.3">
      <c r="A50" t="s">
        <v>14</v>
      </c>
      <c r="B50" s="57">
        <v>1728.771</v>
      </c>
      <c r="C50" s="34">
        <f>B50/2.47105</f>
        <v>699.60988243863949</v>
      </c>
    </row>
    <row r="51" spans="1:5" x14ac:dyDescent="0.3">
      <c r="A51" t="s">
        <v>1</v>
      </c>
      <c r="B51" s="57">
        <v>1241.4169999999999</v>
      </c>
      <c r="C51" s="34">
        <f>B51/2.47105</f>
        <v>502.38441148499624</v>
      </c>
    </row>
    <row r="52" spans="1:5" x14ac:dyDescent="0.3">
      <c r="A52" t="s">
        <v>125</v>
      </c>
      <c r="B52" s="14">
        <f>SUM(B50:B51)</f>
        <v>2970.1880000000001</v>
      </c>
      <c r="C52" s="34">
        <f>B52/2.47105</f>
        <v>1201.9942939236357</v>
      </c>
    </row>
    <row r="53" spans="1:5" x14ac:dyDescent="0.3">
      <c r="B53" s="14"/>
      <c r="C53" s="34"/>
    </row>
    <row r="54" spans="1:5" x14ac:dyDescent="0.3">
      <c r="A54" s="54" t="s">
        <v>122</v>
      </c>
      <c r="B54" s="14"/>
      <c r="C54" s="34"/>
    </row>
    <row r="55" spans="1:5" x14ac:dyDescent="0.3">
      <c r="A55" t="s">
        <v>14</v>
      </c>
      <c r="B55" s="56">
        <v>1461.5830000000001</v>
      </c>
      <c r="C55" s="34">
        <f>B55/2.47105</f>
        <v>591.48256813905027</v>
      </c>
    </row>
    <row r="56" spans="1:5" x14ac:dyDescent="0.3">
      <c r="A56" t="s">
        <v>1</v>
      </c>
      <c r="B56" s="56">
        <v>512.31799999999998</v>
      </c>
      <c r="C56" s="34">
        <f>B56/2.47105</f>
        <v>207.32805892232048</v>
      </c>
    </row>
    <row r="57" spans="1:5" x14ac:dyDescent="0.3">
      <c r="A57" t="s">
        <v>125</v>
      </c>
      <c r="B57" s="14">
        <f>SUM(B55:B56)</f>
        <v>1973.9010000000001</v>
      </c>
      <c r="C57" s="34">
        <f>B57/2.47105</f>
        <v>798.81062706137072</v>
      </c>
    </row>
    <row r="58" spans="1:5" x14ac:dyDescent="0.3">
      <c r="A58" s="47"/>
    </row>
    <row r="60" spans="1:5" x14ac:dyDescent="0.3">
      <c r="A60" s="54" t="s">
        <v>120</v>
      </c>
      <c r="B60" t="s">
        <v>136</v>
      </c>
      <c r="C60" t="s">
        <v>137</v>
      </c>
    </row>
    <row r="61" spans="1:5" x14ac:dyDescent="0.3">
      <c r="A61" s="47" t="s">
        <v>128</v>
      </c>
      <c r="B61" s="63">
        <v>4944.0889999999999</v>
      </c>
      <c r="C61" s="34">
        <f>B61/2.47105</f>
        <v>2000.8049209850064</v>
      </c>
      <c r="E61" s="34"/>
    </row>
    <row r="62" spans="1:5" x14ac:dyDescent="0.3">
      <c r="A62" s="47" t="s">
        <v>129</v>
      </c>
      <c r="B62" s="63">
        <v>1334.473</v>
      </c>
      <c r="C62" s="34">
        <f t="shared" ref="C62:C86" si="1">B62/2.47105</f>
        <v>540.04289674429901</v>
      </c>
      <c r="E62" s="34"/>
    </row>
    <row r="63" spans="1:5" x14ac:dyDescent="0.3">
      <c r="A63" s="47" t="s">
        <v>130</v>
      </c>
      <c r="B63" s="63">
        <v>3609.616</v>
      </c>
      <c r="C63" s="34">
        <f t="shared" si="1"/>
        <v>1460.7620242407074</v>
      </c>
      <c r="E63" s="34"/>
    </row>
    <row r="64" spans="1:5" x14ac:dyDescent="0.3">
      <c r="A64" s="47" t="s">
        <v>131</v>
      </c>
      <c r="B64" s="63">
        <v>2727.9450000000002</v>
      </c>
      <c r="C64" s="34">
        <f t="shared" si="1"/>
        <v>1103.9618785536513</v>
      </c>
      <c r="E64" s="34"/>
    </row>
    <row r="65" spans="1:5" x14ac:dyDescent="0.3">
      <c r="A65" s="47" t="s">
        <v>132</v>
      </c>
      <c r="B65" s="63">
        <v>881.67100000000005</v>
      </c>
      <c r="C65" s="34">
        <f t="shared" si="1"/>
        <v>356.80014568705616</v>
      </c>
      <c r="E65" s="34"/>
    </row>
    <row r="66" spans="1:5" x14ac:dyDescent="0.3">
      <c r="A66" s="47" t="s">
        <v>133</v>
      </c>
      <c r="B66" s="63">
        <v>462.40899999999999</v>
      </c>
      <c r="C66" s="34">
        <f t="shared" si="1"/>
        <v>187.13057202403837</v>
      </c>
      <c r="E66" s="34"/>
    </row>
    <row r="67" spans="1:5" x14ac:dyDescent="0.3">
      <c r="A67" s="47" t="s">
        <v>134</v>
      </c>
      <c r="B67" s="63">
        <v>872.06399999999996</v>
      </c>
      <c r="C67" s="34">
        <f t="shared" si="1"/>
        <v>352.91232472026059</v>
      </c>
      <c r="E67" s="34"/>
    </row>
    <row r="68" spans="1:5" x14ac:dyDescent="0.3">
      <c r="B68" s="63"/>
      <c r="C68" s="34"/>
    </row>
    <row r="69" spans="1:5" x14ac:dyDescent="0.3">
      <c r="B69" s="63"/>
      <c r="C69" s="34"/>
    </row>
    <row r="70" spans="1:5" x14ac:dyDescent="0.3">
      <c r="A70" s="54" t="s">
        <v>121</v>
      </c>
      <c r="B70" s="63"/>
      <c r="C70" s="34"/>
    </row>
    <row r="71" spans="1:5" x14ac:dyDescent="0.3">
      <c r="A71" s="47" t="s">
        <v>128</v>
      </c>
      <c r="B71" s="63">
        <v>2970.1880000000001</v>
      </c>
      <c r="C71" s="34">
        <f t="shared" si="1"/>
        <v>1201.9942939236357</v>
      </c>
    </row>
    <row r="72" spans="1:5" x14ac:dyDescent="0.3">
      <c r="A72" s="60" t="s">
        <v>129</v>
      </c>
      <c r="B72" s="63">
        <v>890.94600000000003</v>
      </c>
      <c r="C72" s="34">
        <f>B72/2.47105</f>
        <v>360.55361081321706</v>
      </c>
      <c r="E72" s="34"/>
    </row>
    <row r="73" spans="1:5" x14ac:dyDescent="0.3">
      <c r="A73" s="60" t="s">
        <v>130</v>
      </c>
      <c r="B73" s="63">
        <v>2079.2420000000002</v>
      </c>
      <c r="C73" s="34">
        <f t="shared" si="1"/>
        <v>841.44068311041872</v>
      </c>
    </row>
    <row r="74" spans="1:5" x14ac:dyDescent="0.3">
      <c r="A74" s="60" t="s">
        <v>131</v>
      </c>
      <c r="B74" s="63">
        <v>1471.4690000000001</v>
      </c>
      <c r="C74" s="34">
        <f t="shared" si="1"/>
        <v>595.48329657433078</v>
      </c>
    </row>
    <row r="75" spans="1:5" x14ac:dyDescent="0.3">
      <c r="A75" s="60" t="s">
        <v>132</v>
      </c>
      <c r="B75" s="63">
        <v>607.77300000000002</v>
      </c>
      <c r="C75" s="34">
        <f t="shared" si="1"/>
        <v>245.95738653608791</v>
      </c>
    </row>
    <row r="76" spans="1:5" x14ac:dyDescent="0.3">
      <c r="A76" s="60" t="s">
        <v>133</v>
      </c>
      <c r="B76" s="63">
        <v>257.30200000000002</v>
      </c>
      <c r="C76" s="34">
        <f t="shared" si="1"/>
        <v>104.12658586430871</v>
      </c>
    </row>
    <row r="77" spans="1:5" x14ac:dyDescent="0.3">
      <c r="A77" s="60" t="s">
        <v>135</v>
      </c>
      <c r="B77" s="63">
        <v>633.64400000000001</v>
      </c>
      <c r="C77" s="34">
        <f t="shared" si="1"/>
        <v>256.42702494890835</v>
      </c>
    </row>
    <row r="78" spans="1:5" x14ac:dyDescent="0.3">
      <c r="A78" s="61"/>
      <c r="B78" s="63"/>
      <c r="C78" s="34"/>
    </row>
    <row r="79" spans="1:5" x14ac:dyDescent="0.3">
      <c r="A79" s="62" t="s">
        <v>122</v>
      </c>
      <c r="B79" s="63"/>
      <c r="C79" s="34"/>
    </row>
    <row r="80" spans="1:5" x14ac:dyDescent="0.3">
      <c r="A80" s="47" t="s">
        <v>128</v>
      </c>
      <c r="B80" s="63">
        <v>1973.9010000000001</v>
      </c>
      <c r="C80" s="34">
        <f t="shared" si="1"/>
        <v>798.81062706137072</v>
      </c>
    </row>
    <row r="81" spans="1:5" x14ac:dyDescent="0.3">
      <c r="A81" s="47" t="s">
        <v>129</v>
      </c>
      <c r="B81" s="63">
        <v>443.52699999999999</v>
      </c>
      <c r="C81" s="34">
        <f t="shared" si="1"/>
        <v>179.48928593108192</v>
      </c>
      <c r="E81" s="34"/>
    </row>
    <row r="82" spans="1:5" x14ac:dyDescent="0.3">
      <c r="A82" s="47" t="s">
        <v>130</v>
      </c>
      <c r="B82" s="63">
        <v>1530.374</v>
      </c>
      <c r="C82" s="34">
        <f t="shared" si="1"/>
        <v>619.32134113028872</v>
      </c>
    </row>
    <row r="83" spans="1:5" x14ac:dyDescent="0.3">
      <c r="A83" s="47" t="s">
        <v>131</v>
      </c>
      <c r="B83" s="63">
        <v>1256.4760000000001</v>
      </c>
      <c r="C83" s="34">
        <f t="shared" si="1"/>
        <v>508.47858197932061</v>
      </c>
    </row>
    <row r="84" spans="1:5" x14ac:dyDescent="0.3">
      <c r="A84" s="47" t="s">
        <v>132</v>
      </c>
      <c r="B84" s="63">
        <v>273.89800000000002</v>
      </c>
      <c r="C84" s="34">
        <f t="shared" si="1"/>
        <v>110.84275915096822</v>
      </c>
    </row>
    <row r="85" spans="1:5" x14ac:dyDescent="0.3">
      <c r="A85" s="47" t="s">
        <v>133</v>
      </c>
      <c r="B85" s="63">
        <v>205.107</v>
      </c>
      <c r="C85" s="34">
        <f t="shared" si="1"/>
        <v>83.003986159729664</v>
      </c>
    </row>
    <row r="86" spans="1:5" x14ac:dyDescent="0.3">
      <c r="A86" s="47" t="s">
        <v>134</v>
      </c>
      <c r="B86" s="63">
        <v>238.42</v>
      </c>
      <c r="C86" s="34">
        <f t="shared" si="1"/>
        <v>96.48529977135226</v>
      </c>
    </row>
  </sheetData>
  <mergeCells count="1">
    <mergeCell ref="B8:D8"/>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E9CAD-71E0-44D2-8BE2-C7E25DF3C899}">
  <dimension ref="A1:O38"/>
  <sheetViews>
    <sheetView topLeftCell="A5" zoomScale="90" zoomScaleNormal="90" workbookViewId="0">
      <selection activeCell="A14" sqref="A14"/>
    </sheetView>
  </sheetViews>
  <sheetFormatPr defaultRowHeight="14.4" x14ac:dyDescent="0.3"/>
  <cols>
    <col min="1" max="3" width="16.21875" customWidth="1"/>
    <col min="4" max="4" width="17.77734375" bestFit="1" customWidth="1"/>
    <col min="5" max="5" width="15.109375" bestFit="1" customWidth="1"/>
    <col min="6" max="6" width="18.33203125" customWidth="1"/>
    <col min="7" max="7" width="9.6640625" customWidth="1"/>
    <col min="8" max="8" width="19" customWidth="1"/>
    <col min="9" max="9" width="18" customWidth="1"/>
    <col min="10" max="10" width="17.109375" bestFit="1" customWidth="1"/>
    <col min="11" max="11" width="19.33203125" bestFit="1" customWidth="1"/>
    <col min="12" max="12" width="10.77734375" customWidth="1"/>
    <col min="13" max="13" width="3.44140625" customWidth="1"/>
    <col min="14" max="14" width="10.77734375" customWidth="1"/>
    <col min="15" max="15" width="12.109375" customWidth="1"/>
    <col min="16" max="16" width="13.5546875" bestFit="1" customWidth="1"/>
    <col min="17" max="17" width="4.5546875" bestFit="1" customWidth="1"/>
  </cols>
  <sheetData>
    <row r="1" spans="1:15" x14ac:dyDescent="0.3">
      <c r="A1" s="46" t="s">
        <v>76</v>
      </c>
    </row>
    <row r="2" spans="1:15" x14ac:dyDescent="0.3">
      <c r="A2" s="47" t="s">
        <v>75</v>
      </c>
    </row>
    <row r="3" spans="1:15" x14ac:dyDescent="0.3">
      <c r="A3" s="47" t="s">
        <v>74</v>
      </c>
    </row>
    <row r="4" spans="1:15" x14ac:dyDescent="0.3">
      <c r="A4" s="47" t="s">
        <v>73</v>
      </c>
    </row>
    <row r="6" spans="1:15" x14ac:dyDescent="0.3">
      <c r="A6" s="46" t="s">
        <v>72</v>
      </c>
    </row>
    <row r="7" spans="1:15" x14ac:dyDescent="0.3">
      <c r="A7" t="s">
        <v>71</v>
      </c>
    </row>
    <row r="8" spans="1:15" ht="29.4" customHeight="1" x14ac:dyDescent="0.3">
      <c r="B8" s="105" t="s">
        <v>70</v>
      </c>
      <c r="C8" s="105"/>
      <c r="D8" s="105"/>
      <c r="F8" s="45" t="s">
        <v>69</v>
      </c>
      <c r="G8" s="45" t="s">
        <v>68</v>
      </c>
      <c r="H8" s="45" t="s">
        <v>67</v>
      </c>
      <c r="I8" s="45"/>
      <c r="J8" s="45" t="s">
        <v>69</v>
      </c>
      <c r="K8" s="45" t="s">
        <v>68</v>
      </c>
      <c r="L8" s="45" t="s">
        <v>67</v>
      </c>
      <c r="M8" s="45"/>
      <c r="N8" s="45" t="s">
        <v>66</v>
      </c>
      <c r="O8" s="45" t="s">
        <v>65</v>
      </c>
    </row>
    <row r="9" spans="1:15" x14ac:dyDescent="0.3">
      <c r="A9" s="44"/>
      <c r="B9" s="42" t="s">
        <v>64</v>
      </c>
      <c r="C9" s="43" t="s">
        <v>20</v>
      </c>
      <c r="D9" s="42" t="s">
        <v>26</v>
      </c>
      <c r="E9" s="42"/>
      <c r="F9" s="42" t="s">
        <v>26</v>
      </c>
      <c r="G9" s="42" t="s">
        <v>26</v>
      </c>
      <c r="H9" s="42" t="s">
        <v>26</v>
      </c>
      <c r="I9" s="42"/>
      <c r="J9" s="42" t="s">
        <v>20</v>
      </c>
      <c r="K9" s="42" t="s">
        <v>20</v>
      </c>
      <c r="L9" s="42" t="s">
        <v>20</v>
      </c>
      <c r="N9" s="42" t="s">
        <v>63</v>
      </c>
      <c r="O9" s="42" t="s">
        <v>63</v>
      </c>
    </row>
    <row r="10" spans="1:15" x14ac:dyDescent="0.3">
      <c r="A10" t="s">
        <v>62</v>
      </c>
      <c r="B10" s="41">
        <v>11805920</v>
      </c>
      <c r="C10" s="34">
        <f>B10/10000</f>
        <v>1180.5920000000001</v>
      </c>
      <c r="D10" s="34">
        <f>C10*2.47105</f>
        <v>2917.3018616000004</v>
      </c>
      <c r="F10" s="34">
        <v>1277.8420000000001</v>
      </c>
      <c r="G10" s="34">
        <v>183.38399999999999</v>
      </c>
      <c r="H10" s="34">
        <f>F10+G10</f>
        <v>1461.2260000000001</v>
      </c>
      <c r="J10" s="34">
        <f t="shared" ref="J10:L12" si="0">F10/2.47105</f>
        <v>517.12510875943428</v>
      </c>
      <c r="K10" s="34">
        <f t="shared" si="0"/>
        <v>74.212986382307108</v>
      </c>
      <c r="L10" s="34">
        <f t="shared" si="0"/>
        <v>591.33809514174141</v>
      </c>
      <c r="N10" s="34">
        <f>J10/L10*100</f>
        <v>87.449990624311368</v>
      </c>
      <c r="O10" s="34">
        <f>J10/C10*100</f>
        <v>43.80218642506761</v>
      </c>
    </row>
    <row r="11" spans="1:15" x14ac:dyDescent="0.3">
      <c r="A11" t="s">
        <v>61</v>
      </c>
      <c r="B11" s="41">
        <v>9151580</v>
      </c>
      <c r="C11" s="34">
        <f>B11/10000</f>
        <v>915.15800000000002</v>
      </c>
      <c r="D11" s="34">
        <f>C11*2.47105</f>
        <v>2261.4011759</v>
      </c>
      <c r="F11" s="34">
        <v>811.26499999999999</v>
      </c>
      <c r="G11" s="34">
        <v>206.27699999999999</v>
      </c>
      <c r="H11" s="34">
        <f>F11+G11</f>
        <v>1017.5419999999999</v>
      </c>
      <c r="J11" s="34">
        <f t="shared" si="0"/>
        <v>328.30780437465853</v>
      </c>
      <c r="K11" s="34">
        <f t="shared" si="0"/>
        <v>83.477469092086352</v>
      </c>
      <c r="L11" s="34">
        <f t="shared" si="0"/>
        <v>411.78527346674485</v>
      </c>
      <c r="N11" s="34">
        <f>J11/L11*100</f>
        <v>79.727912951013337</v>
      </c>
      <c r="O11" s="34">
        <f>J11/C11*100</f>
        <v>35.874439645903607</v>
      </c>
    </row>
    <row r="12" spans="1:15" x14ac:dyDescent="0.3">
      <c r="A12" t="s">
        <v>60</v>
      </c>
      <c r="B12" s="40">
        <f>SUM(B10:B11)</f>
        <v>20957500</v>
      </c>
      <c r="C12" s="34">
        <f>B12/10000</f>
        <v>2095.75</v>
      </c>
      <c r="D12" s="34">
        <f>C12*2.47105</f>
        <v>5178.7030374999995</v>
      </c>
      <c r="F12" s="34">
        <f>SUM(F10:F11)</f>
        <v>2089.107</v>
      </c>
      <c r="G12" s="34">
        <f>SUM(G10:G11)</f>
        <v>389.66099999999994</v>
      </c>
      <c r="H12" s="34">
        <f>F12+G12</f>
        <v>2478.768</v>
      </c>
      <c r="J12" s="34">
        <f t="shared" si="0"/>
        <v>845.43291313409281</v>
      </c>
      <c r="K12" s="34">
        <f t="shared" si="0"/>
        <v>157.69045547439345</v>
      </c>
      <c r="L12" s="34">
        <f t="shared" si="0"/>
        <v>1003.1233686084863</v>
      </c>
      <c r="N12" s="34">
        <f>J12/L12*100</f>
        <v>84.280053639549962</v>
      </c>
      <c r="O12" s="34">
        <f>J12/C12*100</f>
        <v>40.340351336471088</v>
      </c>
    </row>
    <row r="14" spans="1:15" x14ac:dyDescent="0.3">
      <c r="A14" s="39" t="s">
        <v>59</v>
      </c>
    </row>
    <row r="15" spans="1:15" x14ac:dyDescent="0.3">
      <c r="A15" s="39"/>
    </row>
    <row r="16" spans="1:15" x14ac:dyDescent="0.3">
      <c r="B16" s="28" t="s">
        <v>58</v>
      </c>
      <c r="C16" s="28" t="s">
        <v>20</v>
      </c>
      <c r="D16" s="28" t="s">
        <v>57</v>
      </c>
      <c r="E16" s="28"/>
      <c r="G16" s="28"/>
      <c r="H16" s="28"/>
      <c r="I16" s="34"/>
      <c r="J16" s="28" t="s">
        <v>58</v>
      </c>
    </row>
    <row r="17" spans="1:12" x14ac:dyDescent="0.3">
      <c r="A17" t="s">
        <v>56</v>
      </c>
      <c r="B17" s="14">
        <v>5903.7449999999999</v>
      </c>
      <c r="C17" s="14">
        <f>B17/2.47105</f>
        <v>2389.1645252018375</v>
      </c>
      <c r="D17" s="33">
        <f>B17/640</f>
        <v>9.2246015625000002</v>
      </c>
      <c r="E17" s="28"/>
      <c r="G17" s="28"/>
      <c r="H17" s="28"/>
      <c r="I17" t="s">
        <v>56</v>
      </c>
      <c r="J17" s="14">
        <v>5903.7449999999999</v>
      </c>
    </row>
    <row r="18" spans="1:12" x14ac:dyDescent="0.3">
      <c r="A18" s="28" t="s">
        <v>55</v>
      </c>
      <c r="B18" s="38">
        <v>3768.4</v>
      </c>
      <c r="C18" s="14">
        <f>B18/2.47105</f>
        <v>1525.019728455515</v>
      </c>
      <c r="D18" s="33">
        <f>B18/640</f>
        <v>5.8881250000000005</v>
      </c>
      <c r="E18" s="28"/>
      <c r="G18" s="28"/>
      <c r="H18" s="28"/>
      <c r="I18" s="28" t="s">
        <v>55</v>
      </c>
      <c r="J18" s="38">
        <v>3768.4</v>
      </c>
    </row>
    <row r="19" spans="1:12" x14ac:dyDescent="0.3">
      <c r="A19" s="28" t="s">
        <v>54</v>
      </c>
      <c r="B19" s="38">
        <v>2135.3000000000002</v>
      </c>
      <c r="C19" s="14">
        <f>B19/2.47105</f>
        <v>864.12658586430882</v>
      </c>
      <c r="D19" s="33">
        <f>B19/640</f>
        <v>3.3364062500000005</v>
      </c>
      <c r="E19" s="28" t="s">
        <v>53</v>
      </c>
      <c r="G19" s="28"/>
      <c r="H19" s="28"/>
      <c r="I19" s="28" t="s">
        <v>54</v>
      </c>
      <c r="J19" s="38">
        <v>2135.3000000000002</v>
      </c>
    </row>
    <row r="20" spans="1:12" x14ac:dyDescent="0.3">
      <c r="A20" s="28"/>
      <c r="B20" s="28"/>
      <c r="C20" s="28"/>
      <c r="D20" s="28"/>
      <c r="E20" s="28"/>
      <c r="F20" s="28"/>
      <c r="G20" s="28"/>
      <c r="H20" s="28"/>
      <c r="I20" s="28"/>
      <c r="J20" s="28"/>
    </row>
    <row r="21" spans="1:12" x14ac:dyDescent="0.3">
      <c r="A21" s="37" t="s">
        <v>52</v>
      </c>
      <c r="B21" s="28"/>
      <c r="C21" s="28"/>
      <c r="D21" s="28"/>
      <c r="E21" s="28"/>
      <c r="F21" s="28"/>
      <c r="G21" s="28"/>
      <c r="H21" s="28"/>
      <c r="I21" s="28"/>
      <c r="J21" s="28"/>
    </row>
    <row r="22" spans="1:12" x14ac:dyDescent="0.3">
      <c r="A22" s="28" t="s">
        <v>44</v>
      </c>
      <c r="B22" s="28" t="s">
        <v>43</v>
      </c>
      <c r="C22" s="26" t="s">
        <v>51</v>
      </c>
      <c r="D22" s="26" t="s">
        <v>41</v>
      </c>
      <c r="E22" s="26" t="s">
        <v>40</v>
      </c>
      <c r="F22" s="26" t="s">
        <v>39</v>
      </c>
      <c r="G22" s="28"/>
      <c r="H22" s="26" t="s">
        <v>50</v>
      </c>
      <c r="I22" s="26" t="s">
        <v>49</v>
      </c>
      <c r="J22" s="26" t="s">
        <v>48</v>
      </c>
      <c r="K22" s="26" t="s">
        <v>47</v>
      </c>
    </row>
    <row r="23" spans="1:12" x14ac:dyDescent="0.3">
      <c r="A23">
        <v>1321.2840000000001</v>
      </c>
      <c r="B23">
        <v>2288.3319999999999</v>
      </c>
      <c r="C23">
        <f>A23+B23</f>
        <v>3609.616</v>
      </c>
      <c r="D23" s="27">
        <v>1334.473</v>
      </c>
      <c r="E23" s="27">
        <v>4944.0889999999999</v>
      </c>
      <c r="F23" s="14">
        <f>C23/E23*100</f>
        <v>73.0087180873969</v>
      </c>
      <c r="G23" s="28"/>
      <c r="H23" s="34">
        <f>C23/$B$17*100</f>
        <v>61.141123134552736</v>
      </c>
      <c r="I23" s="34">
        <f>E23/$B$17*100</f>
        <v>83.744961884363235</v>
      </c>
      <c r="J23" s="14">
        <f>A23/B17*100</f>
        <v>22.380438179494544</v>
      </c>
      <c r="K23" s="14">
        <f>B23/B17*100</f>
        <v>38.760684955058188</v>
      </c>
      <c r="L23" s="34"/>
    </row>
    <row r="24" spans="1:12" x14ac:dyDescent="0.3">
      <c r="E24" s="28"/>
      <c r="F24" s="28"/>
      <c r="G24" s="28"/>
      <c r="H24" s="28"/>
      <c r="I24" s="28"/>
      <c r="J24" s="28"/>
    </row>
    <row r="25" spans="1:12" x14ac:dyDescent="0.3">
      <c r="A25" s="37" t="s">
        <v>46</v>
      </c>
      <c r="D25" s="28"/>
      <c r="E25" s="28"/>
      <c r="F25" s="14"/>
      <c r="G25" s="28"/>
      <c r="H25" s="28"/>
      <c r="I25" s="28"/>
      <c r="J25" s="28"/>
    </row>
    <row r="26" spans="1:12" x14ac:dyDescent="0.3">
      <c r="A26" s="28" t="s">
        <v>44</v>
      </c>
      <c r="B26" s="28" t="s">
        <v>43</v>
      </c>
      <c r="C26" s="26" t="s">
        <v>42</v>
      </c>
      <c r="D26" s="26" t="s">
        <v>41</v>
      </c>
      <c r="E26" s="26" t="s">
        <v>40</v>
      </c>
      <c r="F26" s="26" t="s">
        <v>39</v>
      </c>
      <c r="H26" s="28"/>
      <c r="I26" s="28"/>
      <c r="J26" s="28"/>
    </row>
    <row r="27" spans="1:12" ht="15.6" x14ac:dyDescent="0.3">
      <c r="A27" s="36">
        <v>1040.925</v>
      </c>
      <c r="B27" s="36">
        <v>1038.317</v>
      </c>
      <c r="C27" s="27">
        <v>2079.2420000000002</v>
      </c>
      <c r="D27" s="27">
        <v>890.94600000000003</v>
      </c>
      <c r="E27" s="27">
        <v>2970.1880000000001</v>
      </c>
      <c r="F27" s="29">
        <f>C27/E27*100</f>
        <v>70.003716936436362</v>
      </c>
      <c r="H27" s="28"/>
      <c r="I27" s="28"/>
      <c r="J27" s="28"/>
    </row>
    <row r="28" spans="1:12" x14ac:dyDescent="0.3">
      <c r="C28" s="28"/>
      <c r="D28" s="28"/>
      <c r="E28" s="28"/>
      <c r="F28" s="14"/>
      <c r="H28" s="28"/>
      <c r="I28" s="28"/>
      <c r="J28" s="28"/>
    </row>
    <row r="29" spans="1:12" x14ac:dyDescent="0.3">
      <c r="A29" s="37" t="s">
        <v>45</v>
      </c>
      <c r="D29" s="28"/>
      <c r="E29" s="28"/>
      <c r="F29" s="14"/>
      <c r="H29" s="28"/>
      <c r="I29" s="28"/>
      <c r="J29" s="28"/>
    </row>
    <row r="30" spans="1:12" x14ac:dyDescent="0.3">
      <c r="A30" s="28" t="s">
        <v>44</v>
      </c>
      <c r="B30" s="28" t="s">
        <v>43</v>
      </c>
      <c r="C30" s="26" t="s">
        <v>42</v>
      </c>
      <c r="D30" s="26" t="s">
        <v>41</v>
      </c>
      <c r="E30" s="26" t="s">
        <v>40</v>
      </c>
      <c r="F30" s="26" t="s">
        <v>39</v>
      </c>
      <c r="H30" s="28"/>
      <c r="I30" s="28"/>
      <c r="J30" s="28"/>
    </row>
    <row r="31" spans="1:12" ht="15.6" x14ac:dyDescent="0.3">
      <c r="A31" s="36">
        <v>280.35899999999998</v>
      </c>
      <c r="B31" s="36">
        <v>1250.0150000000001</v>
      </c>
      <c r="C31" s="27">
        <v>1530.374</v>
      </c>
      <c r="D31" s="27">
        <v>443.52699999999999</v>
      </c>
      <c r="E31" s="27">
        <v>1973.9010000000001</v>
      </c>
      <c r="F31" s="29">
        <f>C31/E31*100</f>
        <v>77.530433390529723</v>
      </c>
    </row>
    <row r="33" spans="1:5" x14ac:dyDescent="0.3">
      <c r="A33" t="s">
        <v>38</v>
      </c>
    </row>
    <row r="34" spans="1:5" x14ac:dyDescent="0.3">
      <c r="B34" t="s">
        <v>26</v>
      </c>
      <c r="C34" t="s">
        <v>37</v>
      </c>
      <c r="D34" t="s">
        <v>27</v>
      </c>
      <c r="E34" t="s">
        <v>28</v>
      </c>
    </row>
    <row r="35" spans="1:5" x14ac:dyDescent="0.3">
      <c r="A35" t="s">
        <v>36</v>
      </c>
      <c r="B35">
        <v>1689.5900000000001</v>
      </c>
      <c r="C35" s="35">
        <f>B35/B37</f>
        <v>0.69877250882983044</v>
      </c>
      <c r="D35" s="34">
        <f>C35*E23</f>
        <v>3454.7934744079676</v>
      </c>
      <c r="E35" s="33">
        <f>D35/2.47105</f>
        <v>1398.1074743157635</v>
      </c>
    </row>
    <row r="36" spans="1:5" x14ac:dyDescent="0.3">
      <c r="A36" t="s">
        <v>1</v>
      </c>
      <c r="B36">
        <v>728.35</v>
      </c>
      <c r="C36" s="35">
        <f>B36/B37</f>
        <v>0.30122749117016967</v>
      </c>
      <c r="D36" s="34">
        <f>C36*E23</f>
        <v>1489.2955255920331</v>
      </c>
      <c r="E36" s="33">
        <f>D36/2.47105</f>
        <v>602.69744666924305</v>
      </c>
    </row>
    <row r="37" spans="1:5" x14ac:dyDescent="0.3">
      <c r="A37" t="s">
        <v>29</v>
      </c>
      <c r="B37">
        <f>SUM(B35:B36)</f>
        <v>2417.94</v>
      </c>
    </row>
    <row r="38" spans="1:5" x14ac:dyDescent="0.3">
      <c r="A38" t="s">
        <v>30</v>
      </c>
    </row>
  </sheetData>
  <mergeCells count="1">
    <mergeCell ref="B8:D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7A8CC9-19AC-48A8-9204-0A33FCA9E647}">
  <dimension ref="A1:Q113"/>
  <sheetViews>
    <sheetView tabSelected="1" zoomScale="110" zoomScaleNormal="110" workbookViewId="0">
      <selection activeCell="F34" sqref="F34"/>
    </sheetView>
  </sheetViews>
  <sheetFormatPr defaultRowHeight="13.8" x14ac:dyDescent="0.3"/>
  <cols>
    <col min="1" max="1" width="8.88671875" style="1"/>
    <col min="2" max="2" width="28.109375" style="1" customWidth="1"/>
    <col min="3" max="3" width="18.33203125" style="1" customWidth="1"/>
    <col min="4" max="6" width="16.21875" style="1" customWidth="1"/>
    <col min="7" max="7" width="13.6640625" style="1" customWidth="1"/>
    <col min="8" max="8" width="12.33203125" style="1" customWidth="1"/>
    <col min="9" max="9" width="7.5546875" style="1" customWidth="1"/>
    <col min="10" max="10" width="8.88671875" style="1"/>
    <col min="11" max="11" width="11.6640625" style="1" customWidth="1"/>
    <col min="12" max="12" width="7.44140625" style="1" bestFit="1" customWidth="1"/>
    <col min="13" max="13" width="7.5546875" style="1" customWidth="1"/>
    <col min="14" max="16384" width="8.88671875" style="1"/>
  </cols>
  <sheetData>
    <row r="1" spans="2:9" x14ac:dyDescent="0.3">
      <c r="B1" s="66"/>
      <c r="C1" s="66" t="s">
        <v>169</v>
      </c>
      <c r="D1" s="85" t="s">
        <v>162</v>
      </c>
      <c r="E1" s="85" t="s">
        <v>163</v>
      </c>
      <c r="F1" s="86" t="s">
        <v>164</v>
      </c>
      <c r="G1" s="66"/>
      <c r="H1" s="66"/>
    </row>
    <row r="2" spans="2:9" x14ac:dyDescent="0.3">
      <c r="B2" s="66"/>
      <c r="C2" s="66" t="s">
        <v>136</v>
      </c>
      <c r="D2" s="66" t="s">
        <v>20</v>
      </c>
      <c r="E2" s="66" t="s">
        <v>20</v>
      </c>
      <c r="F2" s="66" t="s">
        <v>20</v>
      </c>
      <c r="G2" s="66" t="s">
        <v>173</v>
      </c>
      <c r="I2" s="10"/>
    </row>
    <row r="3" spans="2:9" x14ac:dyDescent="0.3">
      <c r="B3" s="66" t="s">
        <v>155</v>
      </c>
      <c r="C3" s="10">
        <v>5903.7449999999999</v>
      </c>
      <c r="D3" s="72">
        <f t="shared" ref="D3:D10" si="0">C3/2.47105</f>
        <v>2389.1645252018375</v>
      </c>
      <c r="E3" s="10">
        <v>1474.0065252018373</v>
      </c>
      <c r="F3" s="10">
        <v>915.15800000000002</v>
      </c>
      <c r="G3" s="100">
        <f>D3/E3</f>
        <v>1.6208642800103523</v>
      </c>
      <c r="I3" s="10"/>
    </row>
    <row r="4" spans="2:9" x14ac:dyDescent="0.3">
      <c r="B4" s="87" t="s">
        <v>144</v>
      </c>
      <c r="C4" s="88">
        <v>4944.0889999999999</v>
      </c>
      <c r="D4" s="72">
        <f t="shared" si="0"/>
        <v>2000.8049209850064</v>
      </c>
      <c r="E4" s="72">
        <v>1201.9942939236357</v>
      </c>
      <c r="F4" s="72">
        <v>798.81062706137072</v>
      </c>
      <c r="G4" s="72"/>
      <c r="I4" s="10"/>
    </row>
    <row r="5" spans="2:9" x14ac:dyDescent="0.3">
      <c r="B5" s="87" t="s">
        <v>156</v>
      </c>
      <c r="C5" s="88">
        <v>3609.616</v>
      </c>
      <c r="D5" s="72">
        <f t="shared" si="0"/>
        <v>1460.7620242407074</v>
      </c>
      <c r="E5" s="72">
        <v>841.44068311041872</v>
      </c>
      <c r="F5" s="72">
        <v>619.32134113028872</v>
      </c>
      <c r="G5" s="72"/>
      <c r="I5" s="10"/>
    </row>
    <row r="6" spans="2:9" x14ac:dyDescent="0.3">
      <c r="B6" s="87" t="s">
        <v>157</v>
      </c>
      <c r="C6" s="88">
        <v>1334.473</v>
      </c>
      <c r="D6" s="72">
        <f t="shared" si="0"/>
        <v>540.04289674429901</v>
      </c>
      <c r="E6" s="72">
        <v>360.55361081321706</v>
      </c>
      <c r="F6" s="72">
        <v>179.48928593108192</v>
      </c>
      <c r="G6" s="72"/>
      <c r="H6" s="66"/>
    </row>
    <row r="7" spans="2:9" x14ac:dyDescent="0.3">
      <c r="B7" s="87" t="s">
        <v>158</v>
      </c>
      <c r="C7" s="88">
        <v>2727.9450000000002</v>
      </c>
      <c r="D7" s="72">
        <f t="shared" si="0"/>
        <v>1103.9618785536513</v>
      </c>
      <c r="E7" s="72">
        <v>595.48329657433078</v>
      </c>
      <c r="F7" s="72">
        <v>508.47858197932061</v>
      </c>
      <c r="G7" s="72"/>
      <c r="H7" s="66"/>
    </row>
    <row r="8" spans="2:9" x14ac:dyDescent="0.3">
      <c r="B8" s="87" t="s">
        <v>159</v>
      </c>
      <c r="C8" s="88">
        <v>462.40899999999999</v>
      </c>
      <c r="D8" s="72">
        <f>C8/2.47105</f>
        <v>187.13057202403837</v>
      </c>
      <c r="E8" s="72">
        <v>104.12658586430871</v>
      </c>
      <c r="F8" s="72">
        <v>83.003986159729664</v>
      </c>
      <c r="G8" s="72"/>
      <c r="H8" s="66"/>
    </row>
    <row r="9" spans="2:9" x14ac:dyDescent="0.3">
      <c r="B9" s="87" t="s">
        <v>160</v>
      </c>
      <c r="C9" s="88">
        <v>881.67100000000005</v>
      </c>
      <c r="D9" s="72">
        <f t="shared" si="0"/>
        <v>356.80014568705616</v>
      </c>
      <c r="E9" s="72">
        <v>245.95738653608791</v>
      </c>
      <c r="F9" s="72">
        <v>110.84275915096822</v>
      </c>
      <c r="G9" s="72"/>
      <c r="H9" s="66"/>
    </row>
    <row r="10" spans="2:9" x14ac:dyDescent="0.3">
      <c r="B10" s="87" t="s">
        <v>161</v>
      </c>
      <c r="C10" s="88">
        <v>872.06399999999996</v>
      </c>
      <c r="D10" s="72">
        <f t="shared" si="0"/>
        <v>352.91232472026059</v>
      </c>
      <c r="E10" s="72">
        <v>256.42702494890835</v>
      </c>
      <c r="F10" s="72">
        <v>96.48529977135226</v>
      </c>
      <c r="G10" s="72"/>
      <c r="H10" s="66"/>
    </row>
    <row r="11" spans="2:9" x14ac:dyDescent="0.3">
      <c r="B11" s="66"/>
      <c r="C11" s="89">
        <f>C4/C3</f>
        <v>0.83744961884363234</v>
      </c>
      <c r="D11" s="89">
        <f t="shared" ref="D11:F11" si="1">D4/D3</f>
        <v>0.83744961884363223</v>
      </c>
      <c r="E11" s="89">
        <f t="shared" si="1"/>
        <v>0.81546063288902015</v>
      </c>
      <c r="F11" s="89">
        <f t="shared" si="1"/>
        <v>0.87286635429223225</v>
      </c>
      <c r="G11" s="66"/>
      <c r="H11" s="66"/>
    </row>
    <row r="13" spans="2:9" ht="14.4" thickBot="1" x14ac:dyDescent="0.35">
      <c r="B13" s="93" t="s">
        <v>146</v>
      </c>
    </row>
    <row r="14" spans="2:9" x14ac:dyDescent="0.3">
      <c r="B14" s="106"/>
      <c r="C14" s="77" t="s">
        <v>2</v>
      </c>
      <c r="D14" s="79" t="s">
        <v>4</v>
      </c>
    </row>
    <row r="15" spans="2:9" ht="14.4" thickBot="1" x14ac:dyDescent="0.35">
      <c r="B15" s="107"/>
      <c r="C15" s="78" t="s">
        <v>3</v>
      </c>
      <c r="D15" s="80" t="s">
        <v>3</v>
      </c>
    </row>
    <row r="16" spans="2:9" ht="14.4" thickBot="1" x14ac:dyDescent="0.35">
      <c r="B16" s="81" t="s">
        <v>19</v>
      </c>
      <c r="C16" s="83" t="s">
        <v>147</v>
      </c>
      <c r="D16" s="84" t="s">
        <v>148</v>
      </c>
    </row>
    <row r="17" spans="2:17" ht="14.4" thickBot="1" x14ac:dyDescent="0.35">
      <c r="B17" s="81" t="s">
        <v>5</v>
      </c>
      <c r="C17" s="83">
        <v>0.54100000000000004</v>
      </c>
      <c r="D17" s="84">
        <v>0.19900000000000001</v>
      </c>
      <c r="F17" s="66"/>
      <c r="G17" s="66"/>
      <c r="H17" s="66"/>
      <c r="I17" s="66"/>
    </row>
    <row r="18" spans="2:17" ht="14.4" thickBot="1" x14ac:dyDescent="0.35">
      <c r="B18" s="81" t="s">
        <v>79</v>
      </c>
      <c r="C18" s="83">
        <v>0.55500000000000005</v>
      </c>
      <c r="D18" s="84">
        <v>0.27200000000000002</v>
      </c>
      <c r="F18" s="66" t="s">
        <v>167</v>
      </c>
      <c r="G18" s="66" t="s">
        <v>168</v>
      </c>
      <c r="H18" s="66"/>
      <c r="I18" s="66"/>
    </row>
    <row r="19" spans="2:17" ht="14.4" thickBot="1" x14ac:dyDescent="0.35">
      <c r="B19" s="81" t="s">
        <v>6</v>
      </c>
      <c r="C19" s="83" t="s">
        <v>149</v>
      </c>
      <c r="D19" s="84" t="s">
        <v>150</v>
      </c>
      <c r="E19" s="92" t="s">
        <v>2</v>
      </c>
      <c r="F19" s="82">
        <v>0.36799999999999999</v>
      </c>
      <c r="G19" s="82">
        <v>0.74299999999999999</v>
      </c>
    </row>
    <row r="20" spans="2:17" ht="14.4" thickBot="1" x14ac:dyDescent="0.35">
      <c r="B20" s="82"/>
      <c r="C20" s="82"/>
      <c r="D20" s="82"/>
      <c r="E20" s="92" t="s">
        <v>4</v>
      </c>
      <c r="F20" s="66">
        <v>0.16600000000000001</v>
      </c>
      <c r="G20" s="66">
        <v>0.378</v>
      </c>
      <c r="H20" s="66"/>
      <c r="I20" s="66"/>
    </row>
    <row r="21" spans="2:17" x14ac:dyDescent="0.3">
      <c r="B21" s="106"/>
      <c r="C21" s="77" t="s">
        <v>151</v>
      </c>
      <c r="D21" s="79" t="s">
        <v>6</v>
      </c>
      <c r="E21" s="92" t="s">
        <v>165</v>
      </c>
      <c r="F21" s="91">
        <f>F19*$D5</f>
        <v>537.56042492058032</v>
      </c>
      <c r="G21" s="91">
        <f>G19*$D5</f>
        <v>1085.3461840108457</v>
      </c>
    </row>
    <row r="22" spans="2:17" ht="14.4" thickBot="1" x14ac:dyDescent="0.35">
      <c r="B22" s="107"/>
      <c r="C22" s="78" t="s">
        <v>152</v>
      </c>
      <c r="D22" s="80" t="s">
        <v>152</v>
      </c>
      <c r="E22" s="92" t="s">
        <v>166</v>
      </c>
      <c r="F22" s="91">
        <f>F20*$D5</f>
        <v>242.48649602395744</v>
      </c>
      <c r="G22" s="91">
        <f>G20*$D5</f>
        <v>552.16804516298737</v>
      </c>
    </row>
    <row r="23" spans="2:17" ht="14.4" thickBot="1" x14ac:dyDescent="0.35">
      <c r="B23" s="81" t="s">
        <v>16</v>
      </c>
      <c r="C23" s="90">
        <f>C17*D5</f>
        <v>790.27225511422273</v>
      </c>
      <c r="D23" s="84" t="s">
        <v>153</v>
      </c>
    </row>
    <row r="24" spans="2:17" ht="14.4" thickBot="1" x14ac:dyDescent="0.35">
      <c r="B24" s="81" t="s">
        <v>17</v>
      </c>
      <c r="C24" s="90">
        <f>D17*D5</f>
        <v>290.69164282390079</v>
      </c>
      <c r="D24" s="84" t="s">
        <v>154</v>
      </c>
      <c r="N24" s="1" t="s">
        <v>172</v>
      </c>
    </row>
    <row r="25" spans="2:17" x14ac:dyDescent="0.3">
      <c r="C25" s="82"/>
      <c r="D25" s="82"/>
      <c r="E25" s="82"/>
      <c r="K25" s="1" t="s">
        <v>32</v>
      </c>
      <c r="L25" s="1" t="s">
        <v>20</v>
      </c>
      <c r="M25" s="1" t="s">
        <v>21</v>
      </c>
      <c r="N25" s="1" t="s">
        <v>21</v>
      </c>
    </row>
    <row r="26" spans="2:17" x14ac:dyDescent="0.3">
      <c r="B26" s="93" t="s">
        <v>145</v>
      </c>
      <c r="G26" s="94"/>
      <c r="H26" s="1" t="s">
        <v>31</v>
      </c>
      <c r="I26" s="1" t="s">
        <v>16</v>
      </c>
      <c r="J26" s="1" t="s">
        <v>33</v>
      </c>
      <c r="K26" s="12">
        <v>0.65</v>
      </c>
      <c r="L26" s="10">
        <f>D$7</f>
        <v>1103.9618785536513</v>
      </c>
      <c r="M26" s="11">
        <f>K26*L26</f>
        <v>717.57522105987334</v>
      </c>
      <c r="N26" s="11">
        <f>M26+M30</f>
        <v>806.41845733595028</v>
      </c>
    </row>
    <row r="27" spans="2:17" ht="14.4" thickBot="1" x14ac:dyDescent="0.35">
      <c r="G27" s="94"/>
      <c r="H27" s="1" t="s">
        <v>31</v>
      </c>
      <c r="I27" s="1" t="s">
        <v>16</v>
      </c>
      <c r="J27" s="1" t="s">
        <v>34</v>
      </c>
      <c r="K27" s="12">
        <v>0.441</v>
      </c>
      <c r="L27" s="10">
        <f t="shared" ref="L27:L28" si="2">D$7</f>
        <v>1103.9618785536513</v>
      </c>
      <c r="M27" s="11">
        <f t="shared" ref="M27:M28" si="3">K27*L27</f>
        <v>486.84718844216025</v>
      </c>
      <c r="N27" s="11">
        <f>M27+M31</f>
        <v>536.08560854697396</v>
      </c>
    </row>
    <row r="28" spans="2:17" ht="14.4" thickBot="1" x14ac:dyDescent="0.35">
      <c r="B28" s="108"/>
      <c r="C28" s="111" t="s">
        <v>0</v>
      </c>
      <c r="D28" s="112"/>
      <c r="E28" s="111" t="s">
        <v>1</v>
      </c>
      <c r="F28" s="113"/>
      <c r="G28" s="95"/>
      <c r="H28" s="1" t="s">
        <v>31</v>
      </c>
      <c r="I28" s="1" t="s">
        <v>16</v>
      </c>
      <c r="J28" s="1" t="s">
        <v>35</v>
      </c>
      <c r="K28" s="12">
        <v>0.85699999999999998</v>
      </c>
      <c r="L28" s="10">
        <f t="shared" si="2"/>
        <v>1103.9618785536513</v>
      </c>
      <c r="M28" s="11">
        <f t="shared" si="3"/>
        <v>946.09532992047923</v>
      </c>
      <c r="N28" s="11">
        <f>M28+M32</f>
        <v>1190.8602298617998</v>
      </c>
    </row>
    <row r="29" spans="2:17" x14ac:dyDescent="0.3">
      <c r="B29" s="109"/>
      <c r="C29" s="2" t="s">
        <v>2</v>
      </c>
      <c r="D29" s="2" t="s">
        <v>4</v>
      </c>
      <c r="E29" s="2" t="s">
        <v>2</v>
      </c>
      <c r="F29" s="3" t="s">
        <v>4</v>
      </c>
      <c r="G29" s="95"/>
      <c r="K29" s="12"/>
      <c r="L29" s="10"/>
      <c r="M29" s="11"/>
    </row>
    <row r="30" spans="2:17" ht="14.4" thickBot="1" x14ac:dyDescent="0.35">
      <c r="B30" s="110"/>
      <c r="C30" s="4" t="s">
        <v>3</v>
      </c>
      <c r="D30" s="4" t="s">
        <v>3</v>
      </c>
      <c r="E30" s="4" t="s">
        <v>3</v>
      </c>
      <c r="F30" s="5" t="s">
        <v>3</v>
      </c>
      <c r="G30" s="95"/>
      <c r="H30" s="1" t="s">
        <v>1</v>
      </c>
      <c r="I30" s="1" t="s">
        <v>16</v>
      </c>
      <c r="J30" s="1" t="s">
        <v>33</v>
      </c>
      <c r="K30" s="12">
        <v>0.249</v>
      </c>
      <c r="L30" s="10">
        <f>D$9</f>
        <v>356.80014568705616</v>
      </c>
      <c r="M30" s="11">
        <f>K30*L30</f>
        <v>88.843236276076979</v>
      </c>
      <c r="P30" s="10">
        <f>N27/3621*100</f>
        <v>14.804904958491411</v>
      </c>
      <c r="Q30" s="10"/>
    </row>
    <row r="31" spans="2:17" ht="14.4" thickBot="1" x14ac:dyDescent="0.35">
      <c r="B31" s="6" t="s">
        <v>5</v>
      </c>
      <c r="C31" s="7">
        <v>0.65</v>
      </c>
      <c r="D31" s="7">
        <v>0.28899999999999998</v>
      </c>
      <c r="E31" s="7">
        <v>0.249</v>
      </c>
      <c r="F31" s="8">
        <v>0.10100000000000001</v>
      </c>
      <c r="G31" s="96"/>
      <c r="H31" s="1" t="s">
        <v>1</v>
      </c>
      <c r="I31" s="1" t="s">
        <v>16</v>
      </c>
      <c r="J31" s="1" t="s">
        <v>34</v>
      </c>
      <c r="K31" s="12">
        <v>0.13800000000000001</v>
      </c>
      <c r="L31" s="10">
        <f t="shared" ref="L31:L32" si="4">D$9</f>
        <v>356.80014568705616</v>
      </c>
      <c r="M31" s="11">
        <f t="shared" ref="M31:M32" si="5">K31*L31</f>
        <v>49.238420104813756</v>
      </c>
      <c r="P31" s="10"/>
      <c r="Q31" s="10">
        <f>N28/2639*100</f>
        <v>45.125435008025761</v>
      </c>
    </row>
    <row r="32" spans="2:17" ht="14.4" thickBot="1" x14ac:dyDescent="0.35">
      <c r="B32" s="6" t="s">
        <v>6</v>
      </c>
      <c r="C32" s="7" t="s">
        <v>7</v>
      </c>
      <c r="D32" s="7" t="s">
        <v>8</v>
      </c>
      <c r="E32" s="7" t="s">
        <v>9</v>
      </c>
      <c r="F32" s="8" t="s">
        <v>10</v>
      </c>
      <c r="G32" s="96"/>
      <c r="H32" s="1" t="s">
        <v>1</v>
      </c>
      <c r="I32" s="1" t="s">
        <v>16</v>
      </c>
      <c r="J32" s="1" t="s">
        <v>35</v>
      </c>
      <c r="K32" s="12">
        <v>0.68600000000000005</v>
      </c>
      <c r="L32" s="10">
        <f t="shared" si="4"/>
        <v>356.80014568705616</v>
      </c>
      <c r="M32" s="11">
        <f t="shared" si="5"/>
        <v>244.76489994132055</v>
      </c>
    </row>
    <row r="33" spans="1:17" x14ac:dyDescent="0.3">
      <c r="C33" s="1" t="s">
        <v>185</v>
      </c>
      <c r="D33" s="1">
        <f>C31-D31</f>
        <v>0.36100000000000004</v>
      </c>
      <c r="E33" s="1" t="s">
        <v>185</v>
      </c>
      <c r="F33" s="1">
        <f>E31-F31</f>
        <v>0.14799999999999999</v>
      </c>
      <c r="G33" s="94"/>
      <c r="K33" s="12"/>
      <c r="L33" s="10"/>
      <c r="M33" s="11"/>
    </row>
    <row r="34" spans="1:17" ht="15" thickBot="1" x14ac:dyDescent="0.35">
      <c r="A34" s="28"/>
      <c r="B34" s="28"/>
      <c r="C34" s="26"/>
      <c r="D34" s="26"/>
      <c r="E34" s="28"/>
      <c r="F34" s="28"/>
      <c r="G34" s="28"/>
      <c r="H34" s="1" t="s">
        <v>31</v>
      </c>
      <c r="I34" s="1" t="s">
        <v>17</v>
      </c>
      <c r="J34" s="1" t="s">
        <v>33</v>
      </c>
      <c r="K34" s="12">
        <v>0.28899999999999998</v>
      </c>
      <c r="L34" s="10">
        <f t="shared" ref="L34:L36" si="6">D$7</f>
        <v>1103.9618785536513</v>
      </c>
      <c r="M34" s="11">
        <f>K34*L34</f>
        <v>319.04498290200519</v>
      </c>
      <c r="N34" s="11">
        <f>M34+M38</f>
        <v>355.08179761639786</v>
      </c>
    </row>
    <row r="35" spans="1:17" ht="15" thickBot="1" x14ac:dyDescent="0.35">
      <c r="A35" s="28"/>
      <c r="B35" s="76"/>
      <c r="C35" s="111" t="s">
        <v>11</v>
      </c>
      <c r="D35" s="115"/>
      <c r="E35" s="111" t="s">
        <v>12</v>
      </c>
      <c r="F35" s="114"/>
      <c r="G35" s="28"/>
      <c r="H35" s="1" t="s">
        <v>31</v>
      </c>
      <c r="I35" s="1" t="s">
        <v>17</v>
      </c>
      <c r="J35" s="1" t="s">
        <v>34</v>
      </c>
      <c r="K35" s="12">
        <v>0.191</v>
      </c>
      <c r="L35" s="10">
        <f t="shared" si="6"/>
        <v>1103.9618785536513</v>
      </c>
      <c r="M35" s="11">
        <f>K35*L35</f>
        <v>210.85671880374741</v>
      </c>
      <c r="N35" s="11">
        <f>M35+M39</f>
        <v>225.84232492260378</v>
      </c>
    </row>
    <row r="36" spans="1:17" ht="15" thickBot="1" x14ac:dyDescent="0.35">
      <c r="A36" s="28"/>
      <c r="B36" s="76"/>
      <c r="C36" s="9" t="s">
        <v>5</v>
      </c>
      <c r="D36" s="9" t="s">
        <v>13</v>
      </c>
      <c r="E36" s="9" t="s">
        <v>5</v>
      </c>
      <c r="F36" s="75" t="s">
        <v>13</v>
      </c>
      <c r="G36" s="28"/>
      <c r="H36" s="1" t="s">
        <v>31</v>
      </c>
      <c r="I36" s="1" t="s">
        <v>17</v>
      </c>
      <c r="J36" s="1" t="s">
        <v>35</v>
      </c>
      <c r="K36" s="12">
        <v>0.44500000000000001</v>
      </c>
      <c r="L36" s="10">
        <f t="shared" si="6"/>
        <v>1103.9618785536513</v>
      </c>
      <c r="M36" s="11">
        <f>K36*L36</f>
        <v>491.26303595637484</v>
      </c>
      <c r="N36" s="11">
        <f>M36+M40</f>
        <v>600.44388053661396</v>
      </c>
    </row>
    <row r="37" spans="1:17" ht="15" thickBot="1" x14ac:dyDescent="0.35">
      <c r="A37" s="28"/>
      <c r="B37" s="6" t="s">
        <v>14</v>
      </c>
      <c r="C37" s="30">
        <f>$C$31*D$7</f>
        <v>717.57522105987334</v>
      </c>
      <c r="D37" s="97" t="s">
        <v>138</v>
      </c>
      <c r="E37" s="98">
        <f>D$31*D$7</f>
        <v>319.04498290200519</v>
      </c>
      <c r="F37" s="99" t="s">
        <v>139</v>
      </c>
      <c r="G37" s="28"/>
      <c r="K37" s="12"/>
      <c r="L37" s="10"/>
      <c r="M37" s="11"/>
    </row>
    <row r="38" spans="1:17" ht="15" thickBot="1" x14ac:dyDescent="0.35">
      <c r="A38" s="28"/>
      <c r="B38" s="6" t="s">
        <v>1</v>
      </c>
      <c r="C38" s="30">
        <f>$E$31*D$9</f>
        <v>88.843236276076979</v>
      </c>
      <c r="D38" s="97" t="s">
        <v>140</v>
      </c>
      <c r="E38" s="98">
        <f>F$31*D$9</f>
        <v>36.036814714392676</v>
      </c>
      <c r="F38" s="99" t="s">
        <v>141</v>
      </c>
      <c r="G38" s="26"/>
      <c r="H38" s="1" t="s">
        <v>1</v>
      </c>
      <c r="I38" s="1" t="s">
        <v>17</v>
      </c>
      <c r="J38" s="1" t="s">
        <v>33</v>
      </c>
      <c r="K38" s="12">
        <v>0.10100000000000001</v>
      </c>
      <c r="L38" s="10">
        <f t="shared" ref="L38:L40" si="7">D$9</f>
        <v>356.80014568705616</v>
      </c>
      <c r="M38" s="11">
        <f>K38*L38</f>
        <v>36.036814714392676</v>
      </c>
      <c r="P38" s="11">
        <f>N35/2811*100</f>
        <v>8.0342342555177435</v>
      </c>
      <c r="Q38" s="11"/>
    </row>
    <row r="39" spans="1:17" ht="15" thickBot="1" x14ac:dyDescent="0.35">
      <c r="A39" s="28"/>
      <c r="B39" s="6" t="s">
        <v>15</v>
      </c>
      <c r="C39" s="31">
        <f>SUM(C37:C38)</f>
        <v>806.41845733595028</v>
      </c>
      <c r="D39" s="97" t="s">
        <v>170</v>
      </c>
      <c r="E39" s="98">
        <f>SUM(E37:E38)</f>
        <v>355.08179761639786</v>
      </c>
      <c r="F39" s="99" t="s">
        <v>171</v>
      </c>
      <c r="G39" s="29"/>
      <c r="H39" s="1" t="s">
        <v>1</v>
      </c>
      <c r="I39" s="1" t="s">
        <v>17</v>
      </c>
      <c r="J39" s="1" t="s">
        <v>34</v>
      </c>
      <c r="K39" s="12">
        <v>4.2000000000000003E-2</v>
      </c>
      <c r="L39" s="10">
        <f t="shared" si="7"/>
        <v>356.80014568705616</v>
      </c>
      <c r="M39" s="11">
        <f>K39*L39</f>
        <v>14.98560611885636</v>
      </c>
      <c r="P39" s="11"/>
      <c r="Q39" s="11">
        <f>N36/2071*100</f>
        <v>28.99294449718078</v>
      </c>
    </row>
    <row r="40" spans="1:17" ht="14.4" x14ac:dyDescent="0.3">
      <c r="A40" s="28"/>
      <c r="G40" s="29"/>
      <c r="H40" s="1" t="s">
        <v>1</v>
      </c>
      <c r="I40" s="1" t="s">
        <v>17</v>
      </c>
      <c r="J40" s="1" t="s">
        <v>35</v>
      </c>
      <c r="K40" s="12">
        <v>0.30599999999999999</v>
      </c>
      <c r="L40" s="10">
        <f t="shared" si="7"/>
        <v>356.80014568705616</v>
      </c>
      <c r="M40" s="11">
        <f>K40*L40</f>
        <v>109.18084458023918</v>
      </c>
    </row>
    <row r="41" spans="1:17" ht="15.6" x14ac:dyDescent="0.3">
      <c r="A41" s="28"/>
      <c r="B41" s="32" t="s">
        <v>22</v>
      </c>
      <c r="C41" s="15"/>
      <c r="D41" s="15"/>
      <c r="E41" s="15"/>
      <c r="F41" s="116" t="s">
        <v>174</v>
      </c>
      <c r="G41" s="117"/>
      <c r="H41" s="117"/>
      <c r="K41" s="66"/>
      <c r="L41" s="66"/>
      <c r="M41" s="66"/>
      <c r="N41" s="66"/>
    </row>
    <row r="42" spans="1:17" ht="14.4" x14ac:dyDescent="0.3">
      <c r="B42" s="17"/>
      <c r="C42" s="18" t="s">
        <v>25</v>
      </c>
      <c r="D42" s="18" t="s">
        <v>24</v>
      </c>
      <c r="E42" s="18" t="s">
        <v>23</v>
      </c>
      <c r="F42" s="18" t="s">
        <v>25</v>
      </c>
      <c r="G42" s="18" t="s">
        <v>24</v>
      </c>
      <c r="H42" s="18" t="s">
        <v>23</v>
      </c>
      <c r="K42" s="67"/>
      <c r="L42" s="69"/>
      <c r="M42" s="69"/>
      <c r="N42" s="66"/>
    </row>
    <row r="43" spans="1:17" ht="14.4" x14ac:dyDescent="0.3">
      <c r="B43" s="19" t="s">
        <v>16</v>
      </c>
      <c r="C43" s="15">
        <v>1913</v>
      </c>
      <c r="D43" s="15">
        <v>1628</v>
      </c>
      <c r="E43" s="15">
        <v>2234</v>
      </c>
      <c r="F43" s="25">
        <f>C43*$G$3</f>
        <v>3100.7133676598041</v>
      </c>
      <c r="G43" s="25">
        <f t="shared" ref="G43:H44" si="8">D43*$G$3</f>
        <v>2638.7670478568534</v>
      </c>
      <c r="H43" s="25">
        <f t="shared" si="8"/>
        <v>3621.0108015431269</v>
      </c>
      <c r="K43" s="70"/>
      <c r="L43" s="65"/>
      <c r="M43" s="71"/>
      <c r="N43" s="66"/>
    </row>
    <row r="44" spans="1:17" ht="14.4" x14ac:dyDescent="0.3">
      <c r="B44" s="19" t="s">
        <v>17</v>
      </c>
      <c r="C44" s="15">
        <v>1398</v>
      </c>
      <c r="D44" s="15">
        <v>1278</v>
      </c>
      <c r="E44" s="15">
        <v>1734</v>
      </c>
      <c r="F44" s="25">
        <f>C44*$G$3</f>
        <v>2265.9682634544724</v>
      </c>
      <c r="G44" s="25">
        <f t="shared" si="8"/>
        <v>2071.4645498532304</v>
      </c>
      <c r="H44" s="25">
        <f t="shared" si="8"/>
        <v>2810.5786615379511</v>
      </c>
      <c r="K44" s="70"/>
      <c r="L44" s="65"/>
      <c r="M44" s="71"/>
      <c r="N44" s="66"/>
      <c r="O44" s="10"/>
    </row>
    <row r="45" spans="1:17" ht="14.4" x14ac:dyDescent="0.3">
      <c r="B45" s="19"/>
      <c r="C45" s="15"/>
      <c r="D45" s="15"/>
      <c r="E45" s="15"/>
      <c r="F45" s="25"/>
      <c r="G45" s="102"/>
      <c r="H45" s="102"/>
      <c r="K45" s="70"/>
      <c r="L45" s="65"/>
      <c r="M45" s="71"/>
      <c r="N45" s="66"/>
      <c r="O45" s="10"/>
    </row>
    <row r="46" spans="1:17" ht="15" thickBot="1" x14ac:dyDescent="0.35">
      <c r="B46" s="104" t="s">
        <v>176</v>
      </c>
      <c r="C46" s="15"/>
      <c r="D46" s="15"/>
      <c r="E46" s="15"/>
      <c r="F46" s="15"/>
      <c r="G46" s="102"/>
      <c r="H46" s="102"/>
      <c r="K46" s="70"/>
      <c r="L46" s="65"/>
      <c r="M46" s="71"/>
      <c r="N46" s="66"/>
      <c r="O46" s="10"/>
    </row>
    <row r="47" spans="1:17" ht="15" thickBot="1" x14ac:dyDescent="0.35">
      <c r="B47" s="76"/>
      <c r="C47" s="111" t="s">
        <v>11</v>
      </c>
      <c r="D47" s="115"/>
      <c r="E47" s="111" t="s">
        <v>12</v>
      </c>
      <c r="F47" s="114"/>
      <c r="G47" s="102"/>
      <c r="H47" s="102"/>
      <c r="K47" s="70"/>
      <c r="L47" s="65"/>
      <c r="M47" s="71"/>
      <c r="N47" s="66"/>
      <c r="O47" s="10"/>
    </row>
    <row r="48" spans="1:17" ht="15" thickBot="1" x14ac:dyDescent="0.35">
      <c r="B48" s="76"/>
      <c r="C48" s="9" t="s">
        <v>5</v>
      </c>
      <c r="D48" s="9" t="s">
        <v>13</v>
      </c>
      <c r="E48" s="9" t="s">
        <v>5</v>
      </c>
      <c r="F48" s="75" t="s">
        <v>13</v>
      </c>
      <c r="G48" s="102"/>
      <c r="H48" s="102"/>
      <c r="K48" s="70"/>
      <c r="L48" s="65"/>
      <c r="M48" s="71"/>
      <c r="N48" s="66"/>
      <c r="O48" s="10"/>
    </row>
    <row r="49" spans="2:15" ht="15" thickBot="1" x14ac:dyDescent="0.35">
      <c r="B49" s="6" t="s">
        <v>14</v>
      </c>
      <c r="C49" s="30">
        <f>$C$31*E$7</f>
        <v>387.06414277331504</v>
      </c>
      <c r="D49" s="97" t="s">
        <v>177</v>
      </c>
      <c r="E49" s="98">
        <f>D$31*E$7</f>
        <v>172.09467270998158</v>
      </c>
      <c r="F49" s="99" t="s">
        <v>179</v>
      </c>
      <c r="G49" s="102"/>
      <c r="H49" s="102"/>
      <c r="K49" s="70"/>
      <c r="L49" s="65"/>
      <c r="M49" s="71"/>
      <c r="N49" s="66"/>
      <c r="O49" s="10"/>
    </row>
    <row r="50" spans="2:15" ht="15" thickBot="1" x14ac:dyDescent="0.35">
      <c r="B50" s="6" t="s">
        <v>1</v>
      </c>
      <c r="C50" s="30">
        <f>$E$31*E$9</f>
        <v>61.243389247485887</v>
      </c>
      <c r="D50" s="97" t="s">
        <v>178</v>
      </c>
      <c r="E50" s="98">
        <f>F$31*E$9</f>
        <v>24.841696040144882</v>
      </c>
      <c r="F50" s="99" t="s">
        <v>180</v>
      </c>
      <c r="G50" s="102"/>
      <c r="H50" s="102"/>
      <c r="K50" s="70"/>
      <c r="L50" s="65"/>
      <c r="M50" s="71"/>
      <c r="N50" s="66"/>
      <c r="O50" s="10"/>
    </row>
    <row r="51" spans="2:15" ht="15" thickBot="1" x14ac:dyDescent="0.35">
      <c r="B51" s="6" t="s">
        <v>15</v>
      </c>
      <c r="C51" s="31">
        <f>SUM(C49:C50)</f>
        <v>448.30753202080092</v>
      </c>
      <c r="D51" s="97" t="s">
        <v>181</v>
      </c>
      <c r="E51" s="98">
        <f>SUM(E49:E50)</f>
        <v>196.93636875012646</v>
      </c>
      <c r="F51" s="99" t="s">
        <v>182</v>
      </c>
      <c r="G51" s="102"/>
      <c r="H51" s="102"/>
      <c r="K51" s="70"/>
      <c r="L51" s="65"/>
      <c r="M51" s="71"/>
      <c r="N51" s="66"/>
      <c r="O51" s="10"/>
    </row>
    <row r="52" spans="2:15" ht="14.4" x14ac:dyDescent="0.3">
      <c r="B52" s="104"/>
      <c r="C52" s="15"/>
      <c r="D52" s="15"/>
      <c r="E52" s="15"/>
      <c r="F52" s="15"/>
      <c r="G52" s="102"/>
      <c r="H52" s="102"/>
      <c r="K52" s="70"/>
      <c r="L52" s="65"/>
      <c r="M52" s="71"/>
      <c r="N52" s="66"/>
      <c r="O52" s="10"/>
    </row>
    <row r="53" spans="2:15" ht="14.4" x14ac:dyDescent="0.3">
      <c r="B53" s="104"/>
      <c r="C53" s="15"/>
      <c r="D53" s="15"/>
      <c r="E53" s="15"/>
      <c r="F53" s="15"/>
      <c r="G53" s="102"/>
      <c r="H53" s="102"/>
      <c r="K53" s="70"/>
      <c r="L53" s="65"/>
      <c r="M53" s="71"/>
      <c r="N53" s="66"/>
      <c r="O53" s="10"/>
    </row>
    <row r="54" spans="2:15" ht="14.4" x14ac:dyDescent="0.3">
      <c r="B54" s="104"/>
      <c r="C54" s="15"/>
      <c r="D54" s="15"/>
      <c r="E54" s="15"/>
      <c r="F54" s="15"/>
      <c r="G54" s="102"/>
      <c r="H54" s="102"/>
      <c r="K54" s="70"/>
      <c r="L54" s="65"/>
      <c r="M54" s="71"/>
      <c r="N54" s="66"/>
      <c r="O54" s="10"/>
    </row>
    <row r="55" spans="2:15" x14ac:dyDescent="0.3">
      <c r="B55" s="21"/>
      <c r="C55" s="21" t="s">
        <v>18</v>
      </c>
      <c r="D55" s="21" t="s">
        <v>19</v>
      </c>
      <c r="E55" s="59" t="s">
        <v>126</v>
      </c>
      <c r="F55" s="59" t="s">
        <v>127</v>
      </c>
      <c r="G55" s="102"/>
      <c r="N55" s="1" t="s">
        <v>172</v>
      </c>
      <c r="O55" s="10"/>
    </row>
    <row r="56" spans="2:15" x14ac:dyDescent="0.3">
      <c r="B56" s="19" t="s">
        <v>16</v>
      </c>
      <c r="C56" s="22">
        <f>C51/C43</f>
        <v>0.23434789964495606</v>
      </c>
      <c r="D56" s="20" t="s">
        <v>183</v>
      </c>
      <c r="E56" s="23">
        <f>N58/E43*100</f>
        <v>13.274407033628469</v>
      </c>
      <c r="F56" s="23">
        <f>N59/D43*100</f>
        <v>41.711053582798392</v>
      </c>
      <c r="G56" s="102"/>
      <c r="K56" s="1" t="s">
        <v>32</v>
      </c>
      <c r="L56" s="1" t="s">
        <v>20</v>
      </c>
      <c r="M56" s="1" t="s">
        <v>21</v>
      </c>
      <c r="N56" s="1" t="s">
        <v>21</v>
      </c>
      <c r="O56" s="10"/>
    </row>
    <row r="57" spans="2:15" x14ac:dyDescent="0.3">
      <c r="B57" s="19" t="s">
        <v>17</v>
      </c>
      <c r="C57" s="22">
        <f>E51/C44</f>
        <v>0.14087007778979002</v>
      </c>
      <c r="D57" s="20" t="s">
        <v>184</v>
      </c>
      <c r="E57" s="24">
        <f>N66/E44*100</f>
        <v>7.1549896124690235</v>
      </c>
      <c r="F57" s="23">
        <f>N67/D44*100</f>
        <v>26.623867547388109</v>
      </c>
      <c r="G57" s="102"/>
      <c r="H57" s="1" t="s">
        <v>31</v>
      </c>
      <c r="I57" s="1" t="s">
        <v>16</v>
      </c>
      <c r="J57" s="1" t="s">
        <v>33</v>
      </c>
      <c r="K57" s="12">
        <v>0.65</v>
      </c>
      <c r="L57" s="10">
        <f>E$7</f>
        <v>595.48329657433078</v>
      </c>
      <c r="M57" s="11">
        <f>K57*L57</f>
        <v>387.06414277331504</v>
      </c>
      <c r="N57" s="11">
        <f>M57+M61</f>
        <v>448.30753202080092</v>
      </c>
      <c r="O57" s="10"/>
    </row>
    <row r="58" spans="2:15" x14ac:dyDescent="0.3">
      <c r="B58" s="19"/>
      <c r="C58" s="15"/>
      <c r="D58" s="15"/>
      <c r="E58" s="15"/>
      <c r="F58" s="25"/>
      <c r="G58" s="102"/>
      <c r="H58" s="1" t="s">
        <v>31</v>
      </c>
      <c r="I58" s="1" t="s">
        <v>16</v>
      </c>
      <c r="J58" s="1" t="s">
        <v>34</v>
      </c>
      <c r="K58" s="12">
        <v>0.441</v>
      </c>
      <c r="L58" s="10">
        <f t="shared" ref="L58:L59" si="9">E$7</f>
        <v>595.48329657433078</v>
      </c>
      <c r="M58" s="11">
        <f t="shared" ref="M58:M59" si="10">K58*L58</f>
        <v>262.60813378927986</v>
      </c>
      <c r="N58" s="11">
        <f>M58+M62</f>
        <v>296.55025313125998</v>
      </c>
      <c r="O58" s="10"/>
    </row>
    <row r="59" spans="2:15" x14ac:dyDescent="0.3">
      <c r="B59" s="15"/>
      <c r="C59" s="15"/>
      <c r="D59" s="15"/>
      <c r="E59" s="15"/>
      <c r="F59" s="25"/>
      <c r="G59" s="96"/>
      <c r="H59" s="1" t="s">
        <v>31</v>
      </c>
      <c r="I59" s="1" t="s">
        <v>16</v>
      </c>
      <c r="J59" s="1" t="s">
        <v>35</v>
      </c>
      <c r="K59" s="12">
        <v>0.85699999999999998</v>
      </c>
      <c r="L59" s="10">
        <f t="shared" si="9"/>
        <v>595.48329657433078</v>
      </c>
      <c r="M59" s="11">
        <f t="shared" si="10"/>
        <v>510.32918516420148</v>
      </c>
      <c r="N59" s="11">
        <f>M59+M63</f>
        <v>679.05595232795781</v>
      </c>
    </row>
    <row r="60" spans="2:15" x14ac:dyDescent="0.3">
      <c r="B60" s="104" t="s">
        <v>175</v>
      </c>
      <c r="C60" s="15"/>
      <c r="D60" s="15"/>
      <c r="E60" s="15"/>
      <c r="F60" s="15"/>
      <c r="G60" s="96"/>
      <c r="K60" s="12"/>
      <c r="L60" s="10"/>
      <c r="M60" s="11"/>
    </row>
    <row r="61" spans="2:15" x14ac:dyDescent="0.3">
      <c r="B61" s="21"/>
      <c r="C61" s="21" t="s">
        <v>18</v>
      </c>
      <c r="D61" s="21" t="s">
        <v>19</v>
      </c>
      <c r="E61" s="59" t="s">
        <v>126</v>
      </c>
      <c r="F61" s="59" t="s">
        <v>127</v>
      </c>
      <c r="G61" s="96"/>
      <c r="H61" s="1" t="s">
        <v>1</v>
      </c>
      <c r="I61" s="1" t="s">
        <v>16</v>
      </c>
      <c r="J61" s="1" t="s">
        <v>33</v>
      </c>
      <c r="K61" s="12">
        <v>0.249</v>
      </c>
      <c r="L61" s="10">
        <f>E$9</f>
        <v>245.95738653608791</v>
      </c>
      <c r="M61" s="11">
        <f>K61*L61</f>
        <v>61.243389247485887</v>
      </c>
    </row>
    <row r="62" spans="2:15" x14ac:dyDescent="0.3">
      <c r="B62" s="19" t="s">
        <v>16</v>
      </c>
      <c r="C62" s="22">
        <f>C39/F43</f>
        <v>0.2600751381107429</v>
      </c>
      <c r="D62" s="20" t="s">
        <v>142</v>
      </c>
      <c r="E62" s="23">
        <f>N27/H43*100</f>
        <v>14.804860795182279</v>
      </c>
      <c r="F62" s="23">
        <f>N28/G43*100</f>
        <v>45.129418712007542</v>
      </c>
      <c r="H62" s="1" t="s">
        <v>1</v>
      </c>
      <c r="I62" s="1" t="s">
        <v>16</v>
      </c>
      <c r="J62" s="1" t="s">
        <v>34</v>
      </c>
      <c r="K62" s="12">
        <v>0.13800000000000001</v>
      </c>
      <c r="L62" s="10">
        <f t="shared" ref="L62:L63" si="11">E$9</f>
        <v>245.95738653608791</v>
      </c>
      <c r="M62" s="11">
        <f t="shared" ref="M62:M63" si="12">K62*L62</f>
        <v>33.942119341980131</v>
      </c>
    </row>
    <row r="63" spans="2:15" ht="16.2" customHeight="1" x14ac:dyDescent="0.3">
      <c r="B63" s="19" t="s">
        <v>17</v>
      </c>
      <c r="C63" s="22">
        <f>E39/F44</f>
        <v>0.15670201712140269</v>
      </c>
      <c r="D63" s="20" t="s">
        <v>143</v>
      </c>
      <c r="E63" s="24">
        <f>N35/H44*100</f>
        <v>8.035438680766994</v>
      </c>
      <c r="F63" s="23">
        <f>N36/G44*100</f>
        <v>28.986442494473643</v>
      </c>
      <c r="G63" s="16"/>
      <c r="H63" s="1" t="s">
        <v>1</v>
      </c>
      <c r="I63" s="1" t="s">
        <v>16</v>
      </c>
      <c r="J63" s="1" t="s">
        <v>35</v>
      </c>
      <c r="K63" s="12">
        <v>0.68600000000000005</v>
      </c>
      <c r="L63" s="10">
        <f t="shared" si="11"/>
        <v>245.95738653608791</v>
      </c>
      <c r="M63" s="11">
        <f t="shared" si="12"/>
        <v>168.72676716375631</v>
      </c>
    </row>
    <row r="64" spans="2:15" ht="16.2" customHeight="1" x14ac:dyDescent="0.3">
      <c r="B64" s="19"/>
      <c r="C64" s="103"/>
      <c r="D64" s="20"/>
      <c r="E64" s="15"/>
      <c r="F64" s="15"/>
      <c r="G64" s="16"/>
      <c r="K64" s="12"/>
      <c r="L64" s="10"/>
      <c r="M64" s="11"/>
    </row>
    <row r="65" spans="2:14" ht="16.2" customHeight="1" x14ac:dyDescent="0.3">
      <c r="B65" s="15"/>
      <c r="C65" s="15"/>
      <c r="F65" s="15"/>
      <c r="G65" s="16"/>
      <c r="H65" s="1" t="s">
        <v>31</v>
      </c>
      <c r="I65" s="1" t="s">
        <v>17</v>
      </c>
      <c r="J65" s="1" t="s">
        <v>33</v>
      </c>
      <c r="K65" s="12">
        <v>0.28899999999999998</v>
      </c>
      <c r="L65" s="10">
        <f t="shared" ref="L65:L67" si="13">E$7</f>
        <v>595.48329657433078</v>
      </c>
      <c r="M65" s="11">
        <f>K65*L65</f>
        <v>172.09467270998158</v>
      </c>
      <c r="N65" s="11">
        <f>M65+M69</f>
        <v>196.93636875012646</v>
      </c>
    </row>
    <row r="66" spans="2:14" ht="16.2" customHeight="1" x14ac:dyDescent="0.3">
      <c r="B66" s="15"/>
      <c r="C66" s="23"/>
      <c r="F66" s="15"/>
      <c r="G66" s="16"/>
      <c r="H66" s="1" t="s">
        <v>31</v>
      </c>
      <c r="I66" s="1" t="s">
        <v>17</v>
      </c>
      <c r="J66" s="1" t="s">
        <v>34</v>
      </c>
      <c r="K66" s="12">
        <v>0.191</v>
      </c>
      <c r="L66" s="10">
        <f t="shared" si="13"/>
        <v>595.48329657433078</v>
      </c>
      <c r="M66" s="11">
        <f>K66*L66</f>
        <v>113.73730964569718</v>
      </c>
      <c r="N66" s="11">
        <f>M66+M70</f>
        <v>124.06751988021287</v>
      </c>
    </row>
    <row r="67" spans="2:14" ht="16.2" customHeight="1" x14ac:dyDescent="0.3">
      <c r="B67" s="15"/>
      <c r="F67" s="15"/>
      <c r="G67" s="16"/>
      <c r="H67" s="1" t="s">
        <v>31</v>
      </c>
      <c r="I67" s="1" t="s">
        <v>17</v>
      </c>
      <c r="J67" s="1" t="s">
        <v>35</v>
      </c>
      <c r="K67" s="12">
        <v>0.44500000000000001</v>
      </c>
      <c r="L67" s="10">
        <f t="shared" si="13"/>
        <v>595.48329657433078</v>
      </c>
      <c r="M67" s="11">
        <f>K67*L67</f>
        <v>264.99006697557718</v>
      </c>
      <c r="N67" s="11">
        <f>M67+M71</f>
        <v>340.25302725562005</v>
      </c>
    </row>
    <row r="68" spans="2:14" ht="16.2" customHeight="1" x14ac:dyDescent="0.3">
      <c r="B68" s="15"/>
      <c r="F68" s="15"/>
      <c r="G68" s="16"/>
      <c r="K68" s="12"/>
      <c r="L68" s="10"/>
      <c r="M68" s="11"/>
    </row>
    <row r="69" spans="2:14" s="13" customFormat="1" x14ac:dyDescent="0.3">
      <c r="B69" s="15"/>
      <c r="C69" s="1"/>
      <c r="D69" s="1"/>
      <c r="E69" s="1"/>
      <c r="F69" s="15"/>
      <c r="G69" s="18"/>
      <c r="H69" s="1" t="s">
        <v>1</v>
      </c>
      <c r="I69" s="1" t="s">
        <v>17</v>
      </c>
      <c r="J69" s="1" t="s">
        <v>33</v>
      </c>
      <c r="K69" s="12">
        <v>0.10100000000000001</v>
      </c>
      <c r="L69" s="10">
        <f t="shared" ref="L69:L71" si="14">E$9</f>
        <v>245.95738653608791</v>
      </c>
      <c r="M69" s="11">
        <f>K69*L69</f>
        <v>24.841696040144882</v>
      </c>
      <c r="N69" s="1"/>
    </row>
    <row r="70" spans="2:14" x14ac:dyDescent="0.3">
      <c r="B70" s="15"/>
      <c r="F70" s="15"/>
      <c r="G70" s="25"/>
      <c r="H70" s="1" t="s">
        <v>1</v>
      </c>
      <c r="I70" s="1" t="s">
        <v>17</v>
      </c>
      <c r="J70" s="1" t="s">
        <v>34</v>
      </c>
      <c r="K70" s="12">
        <v>4.2000000000000003E-2</v>
      </c>
      <c r="L70" s="10">
        <f t="shared" si="14"/>
        <v>245.95738653608791</v>
      </c>
      <c r="M70" s="11">
        <f>K70*L70</f>
        <v>10.330210234515693</v>
      </c>
    </row>
    <row r="71" spans="2:14" x14ac:dyDescent="0.3">
      <c r="B71" s="15"/>
      <c r="F71" s="15"/>
      <c r="G71" s="25"/>
      <c r="H71" s="1" t="s">
        <v>1</v>
      </c>
      <c r="I71" s="1" t="s">
        <v>17</v>
      </c>
      <c r="J71" s="1" t="s">
        <v>35</v>
      </c>
      <c r="K71" s="12">
        <v>0.30599999999999999</v>
      </c>
      <c r="L71" s="10">
        <f t="shared" si="14"/>
        <v>245.95738653608791</v>
      </c>
      <c r="M71" s="11">
        <f>K71*L71</f>
        <v>75.262960280042904</v>
      </c>
    </row>
    <row r="72" spans="2:14" ht="14.4" x14ac:dyDescent="0.3">
      <c r="B72" s="15"/>
      <c r="F72" s="15"/>
      <c r="G72" s="15"/>
      <c r="H72" s="15"/>
      <c r="I72" s="15"/>
      <c r="J72" s="64"/>
      <c r="K72" s="73"/>
      <c r="L72" s="65"/>
      <c r="M72" s="71"/>
      <c r="N72" s="66"/>
    </row>
    <row r="73" spans="2:14" ht="14.4" x14ac:dyDescent="0.3">
      <c r="G73" s="15"/>
      <c r="H73" s="15"/>
      <c r="I73" s="15"/>
      <c r="J73" s="64"/>
      <c r="K73" s="73"/>
      <c r="L73" s="65"/>
      <c r="M73" s="71"/>
      <c r="N73" s="66"/>
    </row>
    <row r="74" spans="2:14" ht="14.4" x14ac:dyDescent="0.3">
      <c r="G74" s="15"/>
      <c r="H74" s="15"/>
      <c r="I74" s="15"/>
      <c r="J74" s="64"/>
      <c r="K74" s="74"/>
      <c r="L74" s="65"/>
      <c r="M74" s="71"/>
      <c r="N74" s="66"/>
    </row>
    <row r="75" spans="2:14" ht="14.4" x14ac:dyDescent="0.3">
      <c r="G75" s="15"/>
      <c r="H75" s="15"/>
      <c r="I75" s="15"/>
      <c r="J75" s="64"/>
      <c r="K75" s="68"/>
      <c r="L75" s="65"/>
      <c r="M75" s="71"/>
      <c r="N75" s="66"/>
    </row>
    <row r="76" spans="2:14" ht="14.4" x14ac:dyDescent="0.3">
      <c r="G76" s="15"/>
      <c r="H76" s="15"/>
      <c r="I76" s="15"/>
      <c r="J76" s="64"/>
      <c r="K76" s="70"/>
      <c r="L76" s="65"/>
      <c r="M76" s="71"/>
      <c r="N76" s="66"/>
    </row>
    <row r="77" spans="2:14" ht="14.4" x14ac:dyDescent="0.3">
      <c r="G77" s="15"/>
      <c r="H77" s="15"/>
      <c r="I77" s="15"/>
      <c r="J77" s="64"/>
      <c r="K77" s="70"/>
      <c r="L77" s="65"/>
      <c r="M77" s="71"/>
      <c r="N77" s="66"/>
    </row>
    <row r="78" spans="2:14" ht="14.4" x14ac:dyDescent="0.3">
      <c r="G78" s="15"/>
      <c r="H78" s="15"/>
      <c r="I78" s="15"/>
      <c r="J78" s="64"/>
      <c r="K78" s="70"/>
      <c r="L78" s="65"/>
      <c r="M78" s="71"/>
      <c r="N78" s="66"/>
    </row>
    <row r="79" spans="2:14" ht="14.4" x14ac:dyDescent="0.3">
      <c r="G79" s="15"/>
      <c r="H79" s="15"/>
      <c r="I79" s="15"/>
      <c r="J79" s="64"/>
      <c r="K79" s="70"/>
      <c r="L79" s="65"/>
      <c r="M79" s="71"/>
      <c r="N79" s="66"/>
    </row>
    <row r="80" spans="2:14" ht="14.4" x14ac:dyDescent="0.3">
      <c r="G80" s="15"/>
      <c r="H80" s="15"/>
      <c r="I80" s="15"/>
      <c r="J80" s="64"/>
      <c r="K80" s="70"/>
      <c r="L80" s="65"/>
      <c r="M80" s="71"/>
      <c r="N80" s="66"/>
    </row>
    <row r="81" spans="7:17" ht="14.4" x14ac:dyDescent="0.3">
      <c r="G81" s="15"/>
      <c r="H81" s="15"/>
      <c r="I81" s="15"/>
      <c r="J81" s="64"/>
      <c r="K81" s="70"/>
      <c r="L81" s="65"/>
      <c r="M81" s="71"/>
      <c r="N81" s="66"/>
    </row>
    <row r="82" spans="7:17" ht="14.4" x14ac:dyDescent="0.3">
      <c r="G82" s="15"/>
      <c r="H82" s="15"/>
      <c r="I82" s="15"/>
      <c r="J82" s="64"/>
      <c r="K82" s="70"/>
      <c r="L82" s="65"/>
      <c r="M82" s="71"/>
      <c r="N82" s="66"/>
    </row>
    <row r="83" spans="7:17" x14ac:dyDescent="0.3">
      <c r="G83" s="15"/>
      <c r="H83" s="15"/>
      <c r="I83" s="15"/>
      <c r="J83" s="101"/>
      <c r="K83" s="66"/>
      <c r="L83" s="66"/>
      <c r="M83" s="66"/>
      <c r="N83" s="66"/>
    </row>
    <row r="84" spans="7:17" x14ac:dyDescent="0.3">
      <c r="G84" s="15"/>
      <c r="H84" s="15"/>
      <c r="I84" s="64"/>
      <c r="J84" s="66"/>
      <c r="K84" s="66"/>
      <c r="L84" s="66"/>
      <c r="M84" s="66"/>
      <c r="N84" s="66"/>
      <c r="O84" s="66"/>
      <c r="P84" s="66"/>
      <c r="Q84" s="66"/>
    </row>
    <row r="85" spans="7:17" x14ac:dyDescent="0.3">
      <c r="G85" s="15"/>
      <c r="H85" s="15"/>
      <c r="I85" s="64"/>
      <c r="J85" s="66"/>
    </row>
    <row r="86" spans="7:17" x14ac:dyDescent="0.3">
      <c r="J86" s="66"/>
    </row>
    <row r="87" spans="7:17" x14ac:dyDescent="0.3">
      <c r="J87" s="66"/>
    </row>
    <row r="88" spans="7:17" x14ac:dyDescent="0.3">
      <c r="J88" s="66"/>
    </row>
    <row r="89" spans="7:17" x14ac:dyDescent="0.3">
      <c r="J89" s="66"/>
    </row>
    <row r="90" spans="7:17" x14ac:dyDescent="0.3">
      <c r="J90" s="66"/>
    </row>
    <row r="91" spans="7:17" x14ac:dyDescent="0.3">
      <c r="J91" s="66"/>
    </row>
    <row r="92" spans="7:17" x14ac:dyDescent="0.3">
      <c r="J92" s="66"/>
    </row>
    <row r="93" spans="7:17" x14ac:dyDescent="0.3">
      <c r="J93" s="66"/>
    </row>
    <row r="94" spans="7:17" x14ac:dyDescent="0.3">
      <c r="J94" s="66"/>
    </row>
    <row r="95" spans="7:17" x14ac:dyDescent="0.3">
      <c r="J95" s="66"/>
    </row>
    <row r="96" spans="7:17" x14ac:dyDescent="0.3">
      <c r="J96" s="66"/>
    </row>
    <row r="97" spans="10:17" ht="14.4" x14ac:dyDescent="0.3">
      <c r="J97" s="66"/>
      <c r="K97" s="70"/>
      <c r="L97" s="65"/>
      <c r="M97" s="71"/>
      <c r="N97" s="66"/>
      <c r="O97" s="66"/>
      <c r="P97" s="66"/>
      <c r="Q97" s="66"/>
    </row>
    <row r="98" spans="10:17" ht="14.4" x14ac:dyDescent="0.3">
      <c r="J98" s="66"/>
      <c r="K98" s="73"/>
      <c r="L98" s="65"/>
      <c r="M98" s="71"/>
      <c r="N98" s="66"/>
      <c r="O98" s="66"/>
      <c r="P98" s="66"/>
      <c r="Q98" s="66"/>
    </row>
    <row r="99" spans="10:17" ht="14.4" x14ac:dyDescent="0.3">
      <c r="J99" s="66"/>
      <c r="K99" s="73"/>
      <c r="L99" s="65"/>
      <c r="M99" s="71"/>
      <c r="N99" s="66"/>
      <c r="O99" s="66"/>
      <c r="P99" s="66"/>
      <c r="Q99" s="66"/>
    </row>
    <row r="100" spans="10:17" ht="14.4" x14ac:dyDescent="0.3">
      <c r="J100" s="66"/>
      <c r="K100" s="73"/>
      <c r="L100" s="65"/>
      <c r="M100" s="71"/>
      <c r="N100" s="66"/>
      <c r="O100" s="66"/>
      <c r="P100" s="66"/>
      <c r="Q100" s="66"/>
    </row>
    <row r="101" spans="10:17" ht="14.4" x14ac:dyDescent="0.3">
      <c r="J101" s="66"/>
      <c r="K101" s="73"/>
      <c r="L101" s="65"/>
      <c r="M101" s="71"/>
      <c r="N101" s="66"/>
      <c r="O101" s="66"/>
      <c r="P101" s="66"/>
      <c r="Q101" s="66"/>
    </row>
    <row r="102" spans="10:17" ht="14.4" x14ac:dyDescent="0.3">
      <c r="J102" s="66"/>
      <c r="K102" s="73"/>
      <c r="L102" s="65"/>
      <c r="M102" s="71"/>
      <c r="N102" s="66"/>
      <c r="O102" s="66"/>
      <c r="P102" s="66"/>
      <c r="Q102" s="66"/>
    </row>
    <row r="103" spans="10:17" ht="14.4" x14ac:dyDescent="0.3">
      <c r="J103" s="66"/>
      <c r="K103" s="73"/>
      <c r="L103" s="65"/>
      <c r="M103" s="71"/>
      <c r="N103" s="66"/>
      <c r="O103" s="66"/>
      <c r="P103" s="66"/>
      <c r="Q103" s="66"/>
    </row>
    <row r="104" spans="10:17" ht="14.4" x14ac:dyDescent="0.3">
      <c r="J104" s="66"/>
      <c r="K104" s="74"/>
      <c r="L104" s="65"/>
      <c r="M104" s="71"/>
      <c r="N104" s="66"/>
      <c r="O104" s="66"/>
      <c r="P104" s="66"/>
      <c r="Q104" s="66"/>
    </row>
    <row r="105" spans="10:17" ht="14.4" x14ac:dyDescent="0.3">
      <c r="J105" s="66"/>
      <c r="K105" s="66"/>
      <c r="L105" s="65"/>
      <c r="M105" s="71"/>
      <c r="N105" s="66"/>
      <c r="O105" s="66"/>
      <c r="P105" s="66"/>
      <c r="Q105" s="66"/>
    </row>
    <row r="106" spans="10:17" ht="14.4" x14ac:dyDescent="0.3">
      <c r="J106" s="66"/>
      <c r="K106" s="70"/>
      <c r="L106" s="65"/>
      <c r="M106" s="71"/>
      <c r="N106" s="66"/>
      <c r="O106" s="66"/>
      <c r="P106" s="66"/>
      <c r="Q106" s="66"/>
    </row>
    <row r="107" spans="10:17" ht="14.4" x14ac:dyDescent="0.3">
      <c r="J107" s="66"/>
      <c r="K107" s="70"/>
      <c r="L107" s="65"/>
      <c r="M107" s="71"/>
      <c r="N107" s="66"/>
      <c r="O107" s="66"/>
      <c r="P107" s="66"/>
      <c r="Q107" s="66"/>
    </row>
    <row r="108" spans="10:17" ht="14.4" x14ac:dyDescent="0.3">
      <c r="J108" s="66"/>
      <c r="K108" s="70"/>
      <c r="L108" s="65"/>
      <c r="M108" s="71"/>
      <c r="N108" s="66"/>
      <c r="O108" s="66"/>
      <c r="P108" s="66"/>
      <c r="Q108" s="66"/>
    </row>
    <row r="109" spans="10:17" ht="14.4" x14ac:dyDescent="0.3">
      <c r="J109" s="66"/>
      <c r="K109" s="70"/>
      <c r="L109" s="65"/>
      <c r="M109" s="71"/>
      <c r="N109" s="66"/>
      <c r="O109" s="66"/>
      <c r="P109" s="66"/>
      <c r="Q109" s="66"/>
    </row>
    <row r="110" spans="10:17" ht="14.4" x14ac:dyDescent="0.3">
      <c r="J110" s="66"/>
      <c r="K110" s="70"/>
      <c r="L110" s="65"/>
      <c r="M110" s="71"/>
      <c r="N110" s="66"/>
      <c r="O110" s="66"/>
      <c r="P110" s="66"/>
      <c r="Q110" s="66"/>
    </row>
    <row r="111" spans="10:17" ht="14.4" x14ac:dyDescent="0.3">
      <c r="J111" s="66"/>
      <c r="K111" s="70"/>
      <c r="L111" s="65"/>
      <c r="M111" s="71"/>
      <c r="N111" s="66"/>
      <c r="O111" s="66"/>
      <c r="P111" s="66"/>
      <c r="Q111" s="66"/>
    </row>
    <row r="112" spans="10:17" ht="14.4" x14ac:dyDescent="0.3">
      <c r="J112" s="66"/>
      <c r="K112" s="70"/>
      <c r="L112" s="65"/>
      <c r="M112" s="71"/>
      <c r="N112" s="66"/>
      <c r="O112" s="66"/>
      <c r="P112" s="66"/>
      <c r="Q112" s="66"/>
    </row>
    <row r="113" spans="10:17" x14ac:dyDescent="0.3">
      <c r="J113" s="66"/>
      <c r="K113" s="66"/>
      <c r="L113" s="66"/>
      <c r="M113" s="66"/>
      <c r="N113" s="66"/>
      <c r="O113" s="66"/>
      <c r="P113" s="66"/>
      <c r="Q113" s="66"/>
    </row>
  </sheetData>
  <mergeCells count="10">
    <mergeCell ref="E35:F35"/>
    <mergeCell ref="C35:D35"/>
    <mergeCell ref="F41:H41"/>
    <mergeCell ref="C47:D47"/>
    <mergeCell ref="E47:F47"/>
    <mergeCell ref="B14:B15"/>
    <mergeCell ref="B21:B22"/>
    <mergeCell ref="B28:B30"/>
    <mergeCell ref="C28:D28"/>
    <mergeCell ref="E28:F2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70E24-6D9E-4ADF-8377-D8B9DFE79EEF}">
  <dimension ref="A1:T21"/>
  <sheetViews>
    <sheetView workbookViewId="0">
      <selection activeCell="O22" sqref="O22"/>
    </sheetView>
  </sheetViews>
  <sheetFormatPr defaultRowHeight="14.4" x14ac:dyDescent="0.3"/>
  <cols>
    <col min="4" max="4" width="12.109375" customWidth="1"/>
    <col min="7" max="7" width="9.109375" bestFit="1" customWidth="1"/>
    <col min="8" max="8" width="9.109375" customWidth="1"/>
    <col min="9" max="9" width="10.5546875" customWidth="1"/>
    <col min="10" max="10" width="11" customWidth="1"/>
    <col min="11" max="11" width="10.5546875" bestFit="1" customWidth="1"/>
    <col min="12" max="12" width="9.109375" bestFit="1" customWidth="1"/>
    <col min="13" max="13" width="10.44140625" customWidth="1"/>
    <col min="14" max="14" width="9.6640625" customWidth="1"/>
    <col min="15" max="15" width="10.88671875" customWidth="1"/>
    <col min="16" max="16" width="9.109375" bestFit="1" customWidth="1"/>
    <col min="18" max="18" width="19.88671875" bestFit="1" customWidth="1"/>
    <col min="19" max="19" width="21.21875" bestFit="1" customWidth="1"/>
  </cols>
  <sheetData>
    <row r="1" spans="1:20" x14ac:dyDescent="0.3">
      <c r="A1" t="s">
        <v>117</v>
      </c>
      <c r="B1" t="s">
        <v>116</v>
      </c>
      <c r="C1" t="s">
        <v>115</v>
      </c>
      <c r="D1" t="s">
        <v>114</v>
      </c>
      <c r="E1" t="s">
        <v>113</v>
      </c>
      <c r="F1" t="s">
        <v>112</v>
      </c>
      <c r="G1" t="s">
        <v>111</v>
      </c>
      <c r="H1" t="s">
        <v>110</v>
      </c>
      <c r="I1" t="s">
        <v>109</v>
      </c>
      <c r="J1" t="s">
        <v>108</v>
      </c>
      <c r="K1" t="s">
        <v>107</v>
      </c>
      <c r="L1" t="s">
        <v>106</v>
      </c>
      <c r="M1" t="s">
        <v>105</v>
      </c>
      <c r="N1" t="s">
        <v>104</v>
      </c>
      <c r="O1" t="s">
        <v>103</v>
      </c>
      <c r="P1" t="s">
        <v>100</v>
      </c>
      <c r="R1" s="48" t="s">
        <v>102</v>
      </c>
      <c r="S1" s="48" t="s">
        <v>101</v>
      </c>
      <c r="T1" s="48" t="s">
        <v>100</v>
      </c>
    </row>
    <row r="2" spans="1:20" x14ac:dyDescent="0.3">
      <c r="A2" t="s">
        <v>99</v>
      </c>
      <c r="B2" t="s">
        <v>81</v>
      </c>
      <c r="C2" t="s">
        <v>97</v>
      </c>
      <c r="D2" t="s">
        <v>86</v>
      </c>
      <c r="F2" t="s">
        <v>84</v>
      </c>
      <c r="G2" s="34">
        <v>10.1</v>
      </c>
      <c r="H2" s="34">
        <f t="shared" ref="H2:H13" si="0">G2*2.47105</f>
        <v>24.957604999999997</v>
      </c>
      <c r="I2">
        <v>137</v>
      </c>
      <c r="J2">
        <v>41</v>
      </c>
      <c r="K2" s="34">
        <v>37414.241144399552</v>
      </c>
      <c r="L2">
        <v>6.375</v>
      </c>
      <c r="M2">
        <v>1.8779999999999999</v>
      </c>
      <c r="N2" s="35">
        <f t="shared" ref="N2:N13" si="1">+L2/G2</f>
        <v>0.63118811881188119</v>
      </c>
      <c r="O2" s="35">
        <f t="shared" ref="O2:O13" si="2">+M2/G2</f>
        <v>0.18594059405940594</v>
      </c>
      <c r="P2" s="34">
        <f t="shared" ref="P2:P13" si="3">+M2/L2*100</f>
        <v>29.458823529411767</v>
      </c>
      <c r="R2" s="49">
        <f t="shared" ref="R2:R13" si="4">(L2*1000000000)/(K2*1000)</f>
        <v>170.38966460380175</v>
      </c>
      <c r="S2" s="49">
        <f t="shared" ref="S2:S13" si="5">(M2*1000000000)/(K2*1000)</f>
        <v>50.194790607990541</v>
      </c>
      <c r="T2" s="52">
        <f t="shared" ref="T2:T13" si="6">S2/R2*100</f>
        <v>29.458823529411767</v>
      </c>
    </row>
    <row r="3" spans="1:20" x14ac:dyDescent="0.3">
      <c r="A3" t="s">
        <v>98</v>
      </c>
      <c r="B3" t="s">
        <v>81</v>
      </c>
      <c r="C3" t="s">
        <v>97</v>
      </c>
      <c r="D3" t="s">
        <v>86</v>
      </c>
      <c r="F3" t="s">
        <v>84</v>
      </c>
      <c r="G3" s="34">
        <v>1.9</v>
      </c>
      <c r="H3" s="34">
        <f t="shared" si="0"/>
        <v>4.6949949999999996</v>
      </c>
      <c r="I3">
        <v>362</v>
      </c>
      <c r="J3">
        <v>123</v>
      </c>
      <c r="K3" s="34">
        <v>4319.2170338999986</v>
      </c>
      <c r="L3">
        <v>1.6759999999999999</v>
      </c>
      <c r="M3">
        <v>0.60899999999999999</v>
      </c>
      <c r="N3" s="35">
        <f t="shared" si="1"/>
        <v>0.88210526315789473</v>
      </c>
      <c r="O3" s="35">
        <f t="shared" si="2"/>
        <v>0.32052631578947371</v>
      </c>
      <c r="P3" s="34">
        <f t="shared" si="3"/>
        <v>36.336515513126493</v>
      </c>
      <c r="R3" s="49">
        <f t="shared" si="4"/>
        <v>388.03329095196472</v>
      </c>
      <c r="S3" s="49">
        <f t="shared" si="5"/>
        <v>140.99777696285591</v>
      </c>
      <c r="T3" s="52">
        <f t="shared" si="6"/>
        <v>36.336515513126486</v>
      </c>
    </row>
    <row r="4" spans="1:20" x14ac:dyDescent="0.3">
      <c r="A4" t="s">
        <v>96</v>
      </c>
      <c r="B4" t="s">
        <v>81</v>
      </c>
      <c r="C4" t="s">
        <v>87</v>
      </c>
      <c r="D4" t="s">
        <v>81</v>
      </c>
      <c r="E4" t="s">
        <v>81</v>
      </c>
      <c r="F4" t="s">
        <v>84</v>
      </c>
      <c r="G4" s="34">
        <v>2.2999999999999998</v>
      </c>
      <c r="H4" s="34">
        <f t="shared" si="0"/>
        <v>5.6834149999999992</v>
      </c>
      <c r="I4">
        <v>211</v>
      </c>
      <c r="J4">
        <v>52</v>
      </c>
      <c r="K4" s="34">
        <v>7281.0311744999663</v>
      </c>
      <c r="L4">
        <v>1.494</v>
      </c>
      <c r="M4">
        <v>0.39700000000000002</v>
      </c>
      <c r="N4" s="35">
        <f t="shared" si="1"/>
        <v>0.64956521739130435</v>
      </c>
      <c r="O4" s="35">
        <f t="shared" si="2"/>
        <v>0.17260869565217393</v>
      </c>
      <c r="P4" s="34">
        <f t="shared" si="3"/>
        <v>26.572958500669348</v>
      </c>
      <c r="R4" s="49">
        <f t="shared" si="4"/>
        <v>205.19071601181577</v>
      </c>
      <c r="S4" s="49">
        <f t="shared" si="5"/>
        <v>54.525243813046089</v>
      </c>
      <c r="T4" s="52">
        <f t="shared" si="6"/>
        <v>26.572958500669341</v>
      </c>
    </row>
    <row r="5" spans="1:20" x14ac:dyDescent="0.3">
      <c r="A5" t="s">
        <v>95</v>
      </c>
      <c r="B5" t="s">
        <v>81</v>
      </c>
      <c r="C5" t="s">
        <v>87</v>
      </c>
      <c r="D5" t="s">
        <v>86</v>
      </c>
      <c r="E5" t="s">
        <v>86</v>
      </c>
      <c r="F5" t="s">
        <v>84</v>
      </c>
      <c r="G5" s="34">
        <v>38</v>
      </c>
      <c r="H5" s="34">
        <f t="shared" si="0"/>
        <v>93.899900000000002</v>
      </c>
      <c r="I5">
        <v>168</v>
      </c>
      <c r="J5">
        <v>116</v>
      </c>
      <c r="K5" s="34">
        <v>72870.58536855242</v>
      </c>
      <c r="L5">
        <v>14.353</v>
      </c>
      <c r="M5">
        <v>10.984999999999999</v>
      </c>
      <c r="N5" s="35">
        <f t="shared" si="1"/>
        <v>0.37771052631578944</v>
      </c>
      <c r="O5" s="35">
        <f t="shared" si="2"/>
        <v>0.28907894736842105</v>
      </c>
      <c r="P5" s="34">
        <f t="shared" si="3"/>
        <v>76.534522399498357</v>
      </c>
      <c r="R5" s="49">
        <f t="shared" si="4"/>
        <v>196.96561963112887</v>
      </c>
      <c r="S5" s="49">
        <f t="shared" si="5"/>
        <v>150.74669627589708</v>
      </c>
      <c r="T5" s="52">
        <f t="shared" si="6"/>
        <v>76.534522399498357</v>
      </c>
    </row>
    <row r="6" spans="1:20" x14ac:dyDescent="0.3">
      <c r="A6" t="s">
        <v>94</v>
      </c>
      <c r="B6" t="s">
        <v>86</v>
      </c>
      <c r="C6" t="s">
        <v>87</v>
      </c>
      <c r="D6" t="s">
        <v>86</v>
      </c>
      <c r="E6" t="s">
        <v>86</v>
      </c>
      <c r="F6" t="s">
        <v>84</v>
      </c>
      <c r="G6" s="34">
        <v>36.799999999999997</v>
      </c>
      <c r="H6" s="34">
        <f t="shared" si="0"/>
        <v>90.934639999999987</v>
      </c>
      <c r="I6">
        <v>106</v>
      </c>
      <c r="J6">
        <v>105</v>
      </c>
      <c r="K6" s="34">
        <v>151259.95674897183</v>
      </c>
      <c r="L6">
        <v>29.061</v>
      </c>
      <c r="M6">
        <v>20.443000000000001</v>
      </c>
      <c r="N6" s="35">
        <f t="shared" si="1"/>
        <v>0.78970108695652175</v>
      </c>
      <c r="O6" s="35">
        <f t="shared" si="2"/>
        <v>0.55551630434782617</v>
      </c>
      <c r="P6" s="34">
        <f t="shared" si="3"/>
        <v>70.345136093045667</v>
      </c>
      <c r="R6" s="49">
        <f t="shared" si="4"/>
        <v>192.12619535670692</v>
      </c>
      <c r="S6" s="49">
        <f t="shared" si="5"/>
        <v>135.15143359406628</v>
      </c>
      <c r="T6" s="52">
        <f t="shared" si="6"/>
        <v>70.345136093045667</v>
      </c>
    </row>
    <row r="7" spans="1:20" x14ac:dyDescent="0.3">
      <c r="A7" t="s">
        <v>93</v>
      </c>
      <c r="B7" t="s">
        <v>81</v>
      </c>
      <c r="C7" t="s">
        <v>87</v>
      </c>
      <c r="D7" t="s">
        <v>81</v>
      </c>
      <c r="E7" t="s">
        <v>81</v>
      </c>
      <c r="F7" t="s">
        <v>84</v>
      </c>
      <c r="G7" s="34">
        <v>11.3</v>
      </c>
      <c r="H7" s="34">
        <f t="shared" si="0"/>
        <v>27.922865000000002</v>
      </c>
      <c r="I7">
        <v>145</v>
      </c>
      <c r="J7">
        <v>75</v>
      </c>
      <c r="K7" s="34">
        <v>18072.963489000002</v>
      </c>
      <c r="L7">
        <v>3.12</v>
      </c>
      <c r="M7">
        <v>1.7250000000000001</v>
      </c>
      <c r="N7" s="35">
        <f t="shared" si="1"/>
        <v>0.27610619469026548</v>
      </c>
      <c r="O7" s="35">
        <f t="shared" si="2"/>
        <v>0.15265486725663716</v>
      </c>
      <c r="P7" s="34">
        <f t="shared" si="3"/>
        <v>55.28846153846154</v>
      </c>
      <c r="R7" s="49">
        <f t="shared" si="4"/>
        <v>172.63355851401843</v>
      </c>
      <c r="S7" s="49">
        <f t="shared" si="5"/>
        <v>95.446438601500574</v>
      </c>
      <c r="T7" s="52">
        <f t="shared" si="6"/>
        <v>55.28846153846154</v>
      </c>
    </row>
    <row r="8" spans="1:20" x14ac:dyDescent="0.3">
      <c r="A8" t="s">
        <v>92</v>
      </c>
      <c r="B8" t="s">
        <v>81</v>
      </c>
      <c r="C8" t="s">
        <v>91</v>
      </c>
      <c r="D8" t="s">
        <v>81</v>
      </c>
      <c r="F8" t="s">
        <v>80</v>
      </c>
      <c r="G8" s="34">
        <v>20.6</v>
      </c>
      <c r="H8" s="34">
        <f t="shared" si="0"/>
        <v>50.90363</v>
      </c>
      <c r="I8">
        <v>53</v>
      </c>
      <c r="J8">
        <v>33</v>
      </c>
      <c r="K8" s="34">
        <v>55656.500699199714</v>
      </c>
      <c r="L8">
        <v>2.5129999999999999</v>
      </c>
      <c r="M8">
        <v>1.714</v>
      </c>
      <c r="N8" s="35">
        <f t="shared" si="1"/>
        <v>0.12199029126213591</v>
      </c>
      <c r="O8" s="35">
        <f t="shared" si="2"/>
        <v>8.3203883495145625E-2</v>
      </c>
      <c r="P8" s="34">
        <f t="shared" si="3"/>
        <v>68.205332272184634</v>
      </c>
      <c r="R8" s="49">
        <f t="shared" si="4"/>
        <v>45.151958323462019</v>
      </c>
      <c r="S8" s="49">
        <f t="shared" si="5"/>
        <v>30.796043201915598</v>
      </c>
      <c r="T8" s="52">
        <f t="shared" si="6"/>
        <v>68.205332272184634</v>
      </c>
    </row>
    <row r="9" spans="1:20" x14ac:dyDescent="0.3">
      <c r="A9" t="s">
        <v>90</v>
      </c>
      <c r="B9" t="s">
        <v>81</v>
      </c>
      <c r="C9" t="s">
        <v>87</v>
      </c>
      <c r="D9" t="s">
        <v>86</v>
      </c>
      <c r="E9" t="s">
        <v>86</v>
      </c>
      <c r="F9" t="s">
        <v>80</v>
      </c>
      <c r="G9" s="34">
        <v>8.9</v>
      </c>
      <c r="H9" s="34">
        <f t="shared" si="0"/>
        <v>21.992345</v>
      </c>
      <c r="I9">
        <v>240</v>
      </c>
      <c r="J9">
        <v>104</v>
      </c>
      <c r="K9" s="34">
        <v>5525.8080416999992</v>
      </c>
      <c r="L9">
        <v>6.4409999999999998</v>
      </c>
      <c r="M9">
        <v>4.2089999999999996</v>
      </c>
      <c r="N9" s="35">
        <f t="shared" si="1"/>
        <v>0.72370786516853924</v>
      </c>
      <c r="O9" s="35">
        <f t="shared" si="2"/>
        <v>0.47292134831460669</v>
      </c>
      <c r="P9" s="34">
        <f t="shared" si="3"/>
        <v>65.346995808104325</v>
      </c>
      <c r="R9" s="49">
        <f t="shared" si="4"/>
        <v>1165.6213808720081</v>
      </c>
      <c r="S9" s="49">
        <f t="shared" si="5"/>
        <v>761.6985548967989</v>
      </c>
      <c r="T9" s="52">
        <f t="shared" si="6"/>
        <v>65.346995808104325</v>
      </c>
    </row>
    <row r="10" spans="1:20" x14ac:dyDescent="0.3">
      <c r="A10" t="s">
        <v>89</v>
      </c>
      <c r="B10" t="s">
        <v>86</v>
      </c>
      <c r="C10" t="s">
        <v>87</v>
      </c>
      <c r="D10" t="s">
        <v>86</v>
      </c>
      <c r="E10" t="s">
        <v>86</v>
      </c>
      <c r="F10" t="s">
        <v>80</v>
      </c>
      <c r="G10" s="34">
        <v>13.4</v>
      </c>
      <c r="H10" s="34">
        <f t="shared" si="0"/>
        <v>33.112070000000003</v>
      </c>
      <c r="I10">
        <v>194</v>
      </c>
      <c r="J10">
        <v>100</v>
      </c>
      <c r="K10" s="34">
        <v>56532.286556799416</v>
      </c>
      <c r="L10">
        <v>15.06</v>
      </c>
      <c r="M10">
        <v>7.2430000000000003</v>
      </c>
      <c r="N10" s="35">
        <f t="shared" si="1"/>
        <v>1.1238805970149255</v>
      </c>
      <c r="O10" s="35">
        <f t="shared" si="2"/>
        <v>0.54052238805970154</v>
      </c>
      <c r="P10" s="34">
        <f t="shared" si="3"/>
        <v>48.094289508632137</v>
      </c>
      <c r="R10" s="49">
        <f t="shared" si="4"/>
        <v>266.39644205561785</v>
      </c>
      <c r="S10" s="49">
        <f t="shared" si="5"/>
        <v>128.12147608292432</v>
      </c>
      <c r="T10" s="52">
        <f t="shared" si="6"/>
        <v>48.094289508632144</v>
      </c>
    </row>
    <row r="11" spans="1:20" x14ac:dyDescent="0.3">
      <c r="A11" t="s">
        <v>88</v>
      </c>
      <c r="B11" t="s">
        <v>86</v>
      </c>
      <c r="C11" t="s">
        <v>87</v>
      </c>
      <c r="D11" t="s">
        <v>86</v>
      </c>
      <c r="E11" t="s">
        <v>86</v>
      </c>
      <c r="F11" t="s">
        <v>80</v>
      </c>
      <c r="G11" s="34">
        <v>2.8</v>
      </c>
      <c r="H11" s="34">
        <f t="shared" si="0"/>
        <v>6.9189399999999992</v>
      </c>
      <c r="I11">
        <v>62</v>
      </c>
      <c r="J11">
        <v>30</v>
      </c>
      <c r="K11" s="34">
        <v>20692.895503499691</v>
      </c>
      <c r="L11">
        <v>1.081</v>
      </c>
      <c r="M11">
        <v>0.48499999999999999</v>
      </c>
      <c r="N11" s="35">
        <f t="shared" si="1"/>
        <v>0.38607142857142857</v>
      </c>
      <c r="O11" s="35">
        <f t="shared" si="2"/>
        <v>0.17321428571428571</v>
      </c>
      <c r="P11" s="34">
        <f t="shared" si="3"/>
        <v>44.865864939870491</v>
      </c>
      <c r="R11" s="49">
        <f t="shared" si="4"/>
        <v>52.240151689606492</v>
      </c>
      <c r="S11" s="49">
        <f t="shared" si="5"/>
        <v>23.437995901442321</v>
      </c>
      <c r="T11" s="52">
        <f t="shared" si="6"/>
        <v>44.865864939870491</v>
      </c>
    </row>
    <row r="12" spans="1:20" x14ac:dyDescent="0.3">
      <c r="A12" t="s">
        <v>85</v>
      </c>
      <c r="B12" t="s">
        <v>81</v>
      </c>
      <c r="C12" t="s">
        <v>82</v>
      </c>
      <c r="D12" t="s">
        <v>81</v>
      </c>
      <c r="F12" t="s">
        <v>84</v>
      </c>
      <c r="G12" s="34">
        <v>4.4000000000000004</v>
      </c>
      <c r="H12" s="34">
        <f t="shared" si="0"/>
        <v>10.872620000000001</v>
      </c>
      <c r="I12">
        <v>140</v>
      </c>
      <c r="J12">
        <v>64</v>
      </c>
      <c r="K12" s="34">
        <v>11103.40296469997</v>
      </c>
      <c r="L12">
        <v>1.986</v>
      </c>
      <c r="M12">
        <v>0.93400000000000005</v>
      </c>
      <c r="N12" s="35">
        <f t="shared" si="1"/>
        <v>0.4513636363636363</v>
      </c>
      <c r="O12" s="35">
        <f t="shared" si="2"/>
        <v>0.21227272727272728</v>
      </c>
      <c r="P12" s="34">
        <f t="shared" si="3"/>
        <v>47.029204431017121</v>
      </c>
      <c r="R12" s="49">
        <f t="shared" si="4"/>
        <v>178.86408394920974</v>
      </c>
      <c r="S12" s="49">
        <f t="shared" si="5"/>
        <v>84.118355694139936</v>
      </c>
      <c r="T12" s="52">
        <f t="shared" si="6"/>
        <v>47.029204431017121</v>
      </c>
    </row>
    <row r="13" spans="1:20" x14ac:dyDescent="0.3">
      <c r="A13" t="s">
        <v>83</v>
      </c>
      <c r="B13" t="s">
        <v>81</v>
      </c>
      <c r="C13" t="s">
        <v>82</v>
      </c>
      <c r="D13" t="s">
        <v>81</v>
      </c>
      <c r="F13" t="s">
        <v>80</v>
      </c>
      <c r="G13" s="34">
        <v>4.0999999999999996</v>
      </c>
      <c r="H13" s="34">
        <f t="shared" si="0"/>
        <v>10.131304999999999</v>
      </c>
      <c r="I13">
        <v>66</v>
      </c>
      <c r="J13">
        <v>26</v>
      </c>
      <c r="K13" s="34">
        <v>12461.473272055231</v>
      </c>
      <c r="L13">
        <v>1.0209999999999999</v>
      </c>
      <c r="M13">
        <v>0.41299999999999998</v>
      </c>
      <c r="N13" s="35">
        <f t="shared" si="1"/>
        <v>0.24902439024390244</v>
      </c>
      <c r="O13" s="35">
        <f t="shared" si="2"/>
        <v>0.10073170731707318</v>
      </c>
      <c r="P13" s="34">
        <f t="shared" si="3"/>
        <v>40.450538687561213</v>
      </c>
      <c r="R13" s="49">
        <f t="shared" si="4"/>
        <v>81.932527375361417</v>
      </c>
      <c r="S13" s="49">
        <f t="shared" si="5"/>
        <v>33.142148683667259</v>
      </c>
      <c r="T13" s="52">
        <f t="shared" si="6"/>
        <v>40.45053868756122</v>
      </c>
    </row>
    <row r="14" spans="1:20" x14ac:dyDescent="0.3">
      <c r="R14" s="48"/>
      <c r="S14" s="48"/>
      <c r="T14" s="48"/>
    </row>
    <row r="15" spans="1:20" x14ac:dyDescent="0.3">
      <c r="F15" t="s">
        <v>5</v>
      </c>
      <c r="G15" s="35">
        <f>MEDIAN(G2:G13)</f>
        <v>9.5</v>
      </c>
      <c r="H15" s="35"/>
      <c r="I15" s="35">
        <f t="shared" ref="I15:P15" si="7">MEDIAN(I2:I13)</f>
        <v>142.5</v>
      </c>
      <c r="J15" s="35">
        <f t="shared" si="7"/>
        <v>69.5</v>
      </c>
      <c r="K15" s="35">
        <f t="shared" si="7"/>
        <v>19382.929496249846</v>
      </c>
      <c r="L15" s="35">
        <f t="shared" si="7"/>
        <v>2.8165</v>
      </c>
      <c r="M15" s="35">
        <f t="shared" si="7"/>
        <v>1.7195</v>
      </c>
      <c r="N15" s="35">
        <f t="shared" si="7"/>
        <v>0.54127587758775875</v>
      </c>
      <c r="O15" s="35">
        <f t="shared" si="7"/>
        <v>0.19910666066606661</v>
      </c>
      <c r="P15" s="35">
        <f t="shared" si="7"/>
        <v>47.561746969824625</v>
      </c>
      <c r="Q15" s="35"/>
      <c r="R15" s="49">
        <f>MEDIAN(R2:R13)</f>
        <v>185.49513965295833</v>
      </c>
      <c r="S15" s="49">
        <f>MEDIAN(S2:S13)</f>
        <v>89.782397147820262</v>
      </c>
      <c r="T15" s="49">
        <f>MEDIAN(T2:T13)</f>
        <v>47.561746969824632</v>
      </c>
    </row>
    <row r="16" spans="1:20" x14ac:dyDescent="0.3">
      <c r="F16" t="s">
        <v>79</v>
      </c>
      <c r="G16" s="35">
        <f>AVERAGE(G2:G13)</f>
        <v>12.883333333333335</v>
      </c>
      <c r="H16" s="35"/>
      <c r="I16" s="35">
        <f t="shared" ref="I16:P16" si="8">AVERAGE(I2:I13)</f>
        <v>157</v>
      </c>
      <c r="J16" s="35">
        <f t="shared" si="8"/>
        <v>72.416666666666671</v>
      </c>
      <c r="K16" s="35">
        <f t="shared" si="8"/>
        <v>37765.86349977315</v>
      </c>
      <c r="L16" s="35">
        <f t="shared" si="8"/>
        <v>7.015083333333334</v>
      </c>
      <c r="M16" s="35">
        <f t="shared" si="8"/>
        <v>4.2529166666666658</v>
      </c>
      <c r="N16" s="35">
        <f t="shared" si="8"/>
        <v>0.55520121799568545</v>
      </c>
      <c r="O16" s="35">
        <f t="shared" si="8"/>
        <v>0.2715993387206232</v>
      </c>
      <c r="P16" s="35">
        <f t="shared" si="8"/>
        <v>50.710720268465252</v>
      </c>
      <c r="Q16" s="35"/>
      <c r="R16" s="49">
        <f>AVERAGE(R2:R13)</f>
        <v>259.62879911122519</v>
      </c>
      <c r="S16" s="49">
        <f>AVERAGE(S2:S13)</f>
        <v>140.69807952635372</v>
      </c>
      <c r="T16" s="49">
        <f>AVERAGE(T2:T13)</f>
        <v>50.710720268465252</v>
      </c>
    </row>
    <row r="17" spans="6:20" x14ac:dyDescent="0.3">
      <c r="F17" t="s">
        <v>78</v>
      </c>
      <c r="G17" s="33" t="e">
        <f ca="1">STDEVs(G2:G13)</f>
        <v>#NAME?</v>
      </c>
      <c r="H17" s="33"/>
      <c r="I17" s="33">
        <f t="shared" ref="I17:P17" si="9">STDEVP(I2:I13)</f>
        <v>84.10112960002381</v>
      </c>
      <c r="J17" s="33">
        <f t="shared" si="9"/>
        <v>34.4805702131247</v>
      </c>
      <c r="K17" s="33">
        <f t="shared" si="9"/>
        <v>40726.268880631105</v>
      </c>
      <c r="L17" s="33">
        <f t="shared" si="9"/>
        <v>8.1455002144162734</v>
      </c>
      <c r="M17" s="33">
        <f t="shared" si="9"/>
        <v>5.7948435909052431</v>
      </c>
      <c r="N17" s="33">
        <f t="shared" si="9"/>
        <v>0.28262545984291498</v>
      </c>
      <c r="O17" s="33">
        <f t="shared" si="9"/>
        <v>0.15951243497066139</v>
      </c>
      <c r="P17" s="33">
        <f t="shared" si="9"/>
        <v>15.796471432004507</v>
      </c>
      <c r="Q17" s="33"/>
      <c r="R17" s="49">
        <f>STDEVP(R2:R13)</f>
        <v>287.43751766269401</v>
      </c>
      <c r="S17" s="49">
        <f>STDEVP(S2:S13)</f>
        <v>192.3958231739482</v>
      </c>
      <c r="T17" s="49">
        <f>STDEVP(T2:T13)</f>
        <v>15.796471432004507</v>
      </c>
    </row>
    <row r="18" spans="6:20" x14ac:dyDescent="0.3">
      <c r="G18" s="35" t="e">
        <f ca="1">_xlfn.CONFIDENCE.NORM(0.05,G17,12)</f>
        <v>#NAME?</v>
      </c>
      <c r="H18" s="35"/>
      <c r="I18" s="35">
        <f t="shared" ref="I18:P18" si="10">_xlfn.CONFIDENCE.NORM(0.05,I17,12)</f>
        <v>47.583819237539089</v>
      </c>
      <c r="J18" s="35">
        <f t="shared" si="10"/>
        <v>19.508860677991841</v>
      </c>
      <c r="K18" s="35">
        <f t="shared" si="10"/>
        <v>23042.632433736246</v>
      </c>
      <c r="L18" s="35">
        <f t="shared" si="10"/>
        <v>4.6086659197739257</v>
      </c>
      <c r="M18" s="35">
        <f t="shared" si="10"/>
        <v>3.2786811693355538</v>
      </c>
      <c r="N18" s="35">
        <f t="shared" si="10"/>
        <v>0.15990746922248023</v>
      </c>
      <c r="O18" s="35">
        <f t="shared" si="10"/>
        <v>9.0250997910276728E-2</v>
      </c>
      <c r="P18" s="35">
        <f t="shared" si="10"/>
        <v>8.9375308605990451</v>
      </c>
      <c r="Q18" s="35"/>
      <c r="R18" s="49"/>
      <c r="S18" s="49"/>
      <c r="T18" s="48"/>
    </row>
    <row r="19" spans="6:20" x14ac:dyDescent="0.3">
      <c r="F19" s="51">
        <v>0.05</v>
      </c>
      <c r="G19" s="35" t="e">
        <f ca="1">G16-G18</f>
        <v>#NAME?</v>
      </c>
      <c r="H19" s="35"/>
      <c r="I19" s="35">
        <f t="shared" ref="I19:P19" si="11">I16-I18</f>
        <v>109.41618076246091</v>
      </c>
      <c r="J19" s="35">
        <f t="shared" si="11"/>
        <v>52.907805988674831</v>
      </c>
      <c r="K19" s="35">
        <f t="shared" si="11"/>
        <v>14723.231066036904</v>
      </c>
      <c r="L19" s="35">
        <f t="shared" si="11"/>
        <v>2.4064174135594083</v>
      </c>
      <c r="M19" s="35">
        <f t="shared" si="11"/>
        <v>0.97423549733111203</v>
      </c>
      <c r="N19" s="50">
        <f t="shared" si="11"/>
        <v>0.39529374877320522</v>
      </c>
      <c r="O19" s="50">
        <f t="shared" si="11"/>
        <v>0.18134834081034645</v>
      </c>
      <c r="P19" s="35">
        <f t="shared" si="11"/>
        <v>41.773189407866205</v>
      </c>
      <c r="Q19" s="35"/>
      <c r="R19" s="49"/>
      <c r="S19" s="49"/>
      <c r="T19" s="48"/>
    </row>
    <row r="20" spans="6:20" x14ac:dyDescent="0.3">
      <c r="F20" s="51">
        <v>0.95</v>
      </c>
      <c r="G20" s="35" t="e">
        <f ca="1">G16+G18</f>
        <v>#NAME?</v>
      </c>
      <c r="H20" s="35"/>
      <c r="I20" s="35">
        <f t="shared" ref="I20:P20" si="12">I16+I18</f>
        <v>204.5838192375391</v>
      </c>
      <c r="J20" s="35">
        <f t="shared" si="12"/>
        <v>91.925527344658519</v>
      </c>
      <c r="K20" s="35">
        <f t="shared" si="12"/>
        <v>60808.495933509395</v>
      </c>
      <c r="L20" s="35">
        <f t="shared" si="12"/>
        <v>11.62374925310726</v>
      </c>
      <c r="M20" s="35">
        <f t="shared" si="12"/>
        <v>7.53159783600222</v>
      </c>
      <c r="N20" s="50">
        <f t="shared" si="12"/>
        <v>0.71510868721816567</v>
      </c>
      <c r="O20" s="50">
        <f t="shared" si="12"/>
        <v>0.36185033663089994</v>
      </c>
      <c r="P20" s="35">
        <f t="shared" si="12"/>
        <v>59.648251129064299</v>
      </c>
      <c r="Q20" s="35"/>
      <c r="R20" s="49"/>
      <c r="S20" s="49"/>
      <c r="T20" s="48"/>
    </row>
    <row r="21" spans="6:20" x14ac:dyDescent="0.3">
      <c r="R21" t="s">
        <v>77</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1B5F561A5441F49A4AA37DA89C26AE5" ma:contentTypeVersion="10" ma:contentTypeDescription="Create a new document." ma:contentTypeScope="" ma:versionID="2763debd025753976353740aaa7fb000">
  <xsd:schema xmlns:xsd="http://www.w3.org/2001/XMLSchema" xmlns:xs="http://www.w3.org/2001/XMLSchema" xmlns:p="http://schemas.microsoft.com/office/2006/metadata/properties" xmlns:ns3="11dcaea4-872b-46f8-a4f9-d3b5c381260e" targetNamespace="http://schemas.microsoft.com/office/2006/metadata/properties" ma:root="true" ma:fieldsID="fca65eed3366422404ee79f60e4c8637" ns3:_="">
    <xsd:import namespace="11dcaea4-872b-46f8-a4f9-d3b5c381260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dcaea4-872b-46f8-a4f9-d3b5c38126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059028-4E08-43D2-BCA9-D5593A7A57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dcaea4-872b-46f8-a4f9-d3b5c38126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FBA9E2-2452-4DAD-8B11-EA0805A8224E}">
  <ds:schemaRefs>
    <ds:schemaRef ds:uri="http://schemas.microsoft.com/sharepoint/v3/contenttype/forms"/>
  </ds:schemaRefs>
</ds:datastoreItem>
</file>

<file path=customXml/itemProps3.xml><?xml version="1.0" encoding="utf-8"?>
<ds:datastoreItem xmlns:ds="http://schemas.openxmlformats.org/officeDocument/2006/customXml" ds:itemID="{BABFB005-9965-4FFF-81C8-9217334B4E60}">
  <ds:schemaRefs>
    <ds:schemaRef ds:uri="http://schemas.microsoft.com/office/2006/documentManagement/types"/>
    <ds:schemaRef ds:uri="http://schemas.microsoft.com/office/infopath/2007/PartnerControls"/>
    <ds:schemaRef ds:uri="11dcaea4-872b-46f8-a4f9-d3b5c381260e"/>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Land use_Wardrop V2</vt:lpstr>
      <vt:lpstr>Land use</vt:lpstr>
      <vt:lpstr>P extrapolations</vt:lpstr>
      <vt:lpstr>LU associations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Dave Braun</dc:creator>
  <cp:lastModifiedBy>Dave Braun</cp:lastModifiedBy>
  <dcterms:created xsi:type="dcterms:W3CDTF">2019-02-22T08:36:40Z</dcterms:created>
  <dcterms:modified xsi:type="dcterms:W3CDTF">2019-08-30T14:19:58Z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0x01010061B5F561A5441F49A4AA37DA89C26AE5</vt:lpwstr>
  </property>
</Properties>
</file>